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franklinenergy-my.sharepoint.com/personal/ndombrosky_franklinenergy_com/Documents/Documents/First Energy PA/Calcs/HVAC/"/>
    </mc:Choice>
  </mc:AlternateContent>
  <xr:revisionPtr revIDLastSave="780" documentId="8_{8385011A-2E84-41FA-ACC8-E3DF0E8F7A39}" xr6:coauthVersionLast="47" xr6:coauthVersionMax="47" xr10:uidLastSave="{91C1967D-22A2-481D-B4AB-A840E428CE26}"/>
  <bookViews>
    <workbookView xWindow="28680" yWindow="-90" windowWidth="29040" windowHeight="15840" xr2:uid="{3CB42CD0-E71D-4651-ABED-1557D0CC1656}"/>
  </bookViews>
  <sheets>
    <sheet name="Instructions" sheetId="1" r:id="rId1"/>
    <sheet name="Project Summary" sheetId="3" r:id="rId2"/>
    <sheet name="Air Cooled Chillers" sheetId="7" state="hidden" r:id="rId3"/>
    <sheet name="Water Cooled Chillers" sheetId="14" state="hidden" r:id="rId4"/>
    <sheet name="Split and Packaged Units" sheetId="8" r:id="rId5"/>
    <sheet name="IECC 2015 efficiencies" sheetId="21" state="hidden" r:id="rId6"/>
    <sheet name="Air Source Heat Pumps" sheetId="22" r:id="rId7"/>
    <sheet name="Water Source Heat Pumps" sheetId="10" r:id="rId8"/>
    <sheet name="Ductless Mini Splits" sheetId="11" r:id="rId9"/>
    <sheet name="PTACs" sheetId="12" r:id="rId10"/>
    <sheet name="PTHPs" sheetId="13" r:id="rId11"/>
    <sheet name="Window Air Conditioners" sheetId="20" r:id="rId12"/>
    <sheet name="Commercial Smart Thermostat" sheetId="23" r:id="rId13"/>
    <sheet name="Lookup Tables" sheetId="18" state="hidden" r:id="rId14"/>
    <sheet name="Data Export" sheetId="4" state="hidden" r:id="rId15"/>
    <sheet name="Version Log" sheetId="19" state="hidden" r:id="rId16"/>
  </sheets>
  <definedNames>
    <definedName name="_xlnm._FilterDatabase" localSheetId="4" hidden="1">'Split and Packaged Units'!$C$26:$Q$100</definedName>
    <definedName name="Chiller_Facility_Types" localSheetId="6">'Lookup Tables'!$G$32:$G$39</definedName>
    <definedName name="Facility_Types" localSheetId="6">'Lookup Tables'!$G$6:$G$19</definedName>
    <definedName name="Facility_Types">'Lookup Tables'!$G$6:$G$19</definedName>
    <definedName name="Project_Type" localSheetId="6">'Lookup Tables'!$E$5:$E$6</definedName>
    <definedName name="Project_Type">'Lookup Tables'!$E$5:$E$6</definedName>
    <definedName name="Zip_Code" localSheetId="6">'Lookup Tables'!$B$5:$B$2226</definedName>
    <definedName name="Zip_Code">'Lookup Tables'!$B$5:$B$2226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0" i="8" l="1"/>
  <c r="J99" i="8"/>
  <c r="J98" i="8"/>
  <c r="J97" i="8"/>
  <c r="J94" i="8"/>
  <c r="J93" i="8"/>
  <c r="J92" i="8"/>
  <c r="J91" i="8"/>
  <c r="J88" i="8"/>
  <c r="J87" i="8"/>
  <c r="J86" i="8"/>
  <c r="J85" i="8"/>
  <c r="J82" i="8"/>
  <c r="J81" i="8"/>
  <c r="J80" i="8"/>
  <c r="J79" i="8"/>
  <c r="J76" i="8"/>
  <c r="J75" i="8"/>
  <c r="J74" i="8"/>
  <c r="J70" i="8"/>
  <c r="J69" i="8"/>
  <c r="J68" i="8"/>
  <c r="J67" i="8"/>
  <c r="J64" i="8"/>
  <c r="J63" i="8"/>
  <c r="J62" i="8"/>
  <c r="J61" i="8"/>
  <c r="J58" i="8"/>
  <c r="J57" i="8"/>
  <c r="J56" i="8"/>
  <c r="J55" i="8"/>
  <c r="J52" i="8"/>
  <c r="J51" i="8"/>
  <c r="J50" i="8"/>
  <c r="J49" i="8"/>
  <c r="J46" i="8"/>
  <c r="J45" i="8"/>
  <c r="J44" i="8"/>
  <c r="J43" i="8"/>
  <c r="J40" i="8"/>
  <c r="J39" i="8"/>
  <c r="J38" i="8"/>
  <c r="J37" i="8"/>
  <c r="J34" i="8"/>
  <c r="J33" i="8"/>
  <c r="J32" i="8"/>
  <c r="J31" i="8"/>
  <c r="I100" i="8"/>
  <c r="I99" i="8"/>
  <c r="I98" i="8"/>
  <c r="I97" i="8"/>
  <c r="I94" i="8"/>
  <c r="I93" i="8"/>
  <c r="I92" i="8"/>
  <c r="I91" i="8"/>
  <c r="I88" i="8"/>
  <c r="I87" i="8"/>
  <c r="I86" i="8"/>
  <c r="I85" i="8"/>
  <c r="I82" i="8"/>
  <c r="I81" i="8"/>
  <c r="I80" i="8"/>
  <c r="I79" i="8"/>
  <c r="I76" i="8"/>
  <c r="I75" i="8"/>
  <c r="I74" i="8"/>
  <c r="I70" i="8"/>
  <c r="I69" i="8"/>
  <c r="I68" i="8"/>
  <c r="I64" i="8"/>
  <c r="I63" i="8"/>
  <c r="I62" i="8"/>
  <c r="I61" i="8"/>
  <c r="I58" i="8"/>
  <c r="I57" i="8"/>
  <c r="I56" i="8"/>
  <c r="I55" i="8"/>
  <c r="I52" i="8"/>
  <c r="I51" i="8"/>
  <c r="I50" i="8"/>
  <c r="I49" i="8"/>
  <c r="I46" i="8"/>
  <c r="I45" i="8"/>
  <c r="I44" i="8"/>
  <c r="I43" i="8"/>
  <c r="I40" i="8"/>
  <c r="I39" i="8"/>
  <c r="I38" i="8"/>
  <c r="I37" i="8"/>
  <c r="I34" i="8"/>
  <c r="I33" i="8"/>
  <c r="I32" i="8"/>
  <c r="I31" i="8"/>
  <c r="AB11" i="11"/>
  <c r="AP12" i="11"/>
  <c r="AP13" i="11"/>
  <c r="AP14" i="11"/>
  <c r="AP15" i="11"/>
  <c r="AP16" i="11"/>
  <c r="AP17" i="11"/>
  <c r="AP18" i="11"/>
  <c r="AP11" i="11"/>
  <c r="AL12" i="13"/>
  <c r="AM12" i="13"/>
  <c r="AL13" i="13"/>
  <c r="AM13" i="13"/>
  <c r="AL14" i="13"/>
  <c r="AM14" i="13"/>
  <c r="AL15" i="13"/>
  <c r="AM15" i="13"/>
  <c r="AL16" i="13"/>
  <c r="AM16" i="13"/>
  <c r="AL17" i="13"/>
  <c r="AM17" i="13"/>
  <c r="AL18" i="13"/>
  <c r="AM18" i="13"/>
  <c r="AH12" i="13"/>
  <c r="AI12" i="13"/>
  <c r="AH13" i="13"/>
  <c r="AI13" i="13"/>
  <c r="AH14" i="13"/>
  <c r="AI14" i="13"/>
  <c r="AH15" i="13"/>
  <c r="AI15" i="13"/>
  <c r="AH16" i="13"/>
  <c r="AI16" i="13"/>
  <c r="AH17" i="13"/>
  <c r="AI17" i="13"/>
  <c r="AH18" i="13"/>
  <c r="AI18" i="13"/>
  <c r="AI11" i="13"/>
  <c r="AH11" i="13"/>
  <c r="AF12" i="13"/>
  <c r="AF13" i="13"/>
  <c r="AF14" i="13"/>
  <c r="AF15" i="13"/>
  <c r="AF16" i="13"/>
  <c r="AF17" i="13"/>
  <c r="AG17" i="13" s="1" a="1"/>
  <c r="AG17" i="13" s="1"/>
  <c r="AF18" i="13"/>
  <c r="AF11" i="13"/>
  <c r="AG12" i="13" a="1"/>
  <c r="AG12" i="13" s="1"/>
  <c r="AG13" i="13" a="1"/>
  <c r="AG13" i="13" s="1"/>
  <c r="AG14" i="13" a="1"/>
  <c r="AG14" i="13"/>
  <c r="AG15" i="13" a="1"/>
  <c r="AG15" i="13" s="1"/>
  <c r="AG16" i="13" a="1"/>
  <c r="AG16" i="13" s="1"/>
  <c r="AG18" i="13" a="1"/>
  <c r="AG18" i="13"/>
  <c r="AA12" i="13"/>
  <c r="AB12" i="13"/>
  <c r="AA13" i="13"/>
  <c r="AB13" i="13"/>
  <c r="AA14" i="13"/>
  <c r="AB14" i="13"/>
  <c r="AA15" i="13"/>
  <c r="AB15" i="13"/>
  <c r="AA16" i="13"/>
  <c r="AB16" i="13"/>
  <c r="AA17" i="13"/>
  <c r="AB17" i="13"/>
  <c r="AA18" i="13"/>
  <c r="AB18" i="13"/>
  <c r="W12" i="13"/>
  <c r="X12" i="13"/>
  <c r="W13" i="13"/>
  <c r="X13" i="13"/>
  <c r="W14" i="13"/>
  <c r="X14" i="13"/>
  <c r="W15" i="13"/>
  <c r="X15" i="13"/>
  <c r="W16" i="13"/>
  <c r="X16" i="13"/>
  <c r="W17" i="13"/>
  <c r="X17" i="13"/>
  <c r="W18" i="13"/>
  <c r="X18" i="13"/>
  <c r="T12" i="12"/>
  <c r="T13" i="12"/>
  <c r="T14" i="12"/>
  <c r="T15" i="12"/>
  <c r="T16" i="12"/>
  <c r="T17" i="12"/>
  <c r="T18" i="12"/>
  <c r="S12" i="12"/>
  <c r="S13" i="12"/>
  <c r="S14" i="12"/>
  <c r="S15" i="12"/>
  <c r="S16" i="12"/>
  <c r="S17" i="12"/>
  <c r="S18" i="12"/>
  <c r="V12" i="13" a="1"/>
  <c r="V12" i="13" s="1"/>
  <c r="V13" i="13" a="1"/>
  <c r="V13" i="13" s="1"/>
  <c r="V14" i="13" a="1"/>
  <c r="V14" i="13" s="1"/>
  <c r="V15" i="13" a="1"/>
  <c r="V15" i="13" s="1"/>
  <c r="V16" i="13" a="1"/>
  <c r="V16" i="13" s="1"/>
  <c r="V17" i="13" a="1"/>
  <c r="V17" i="13" s="1"/>
  <c r="V18" i="13" a="1"/>
  <c r="V18" i="13" s="1"/>
  <c r="R12" i="12" a="1"/>
  <c r="R12" i="12" s="1"/>
  <c r="R13" i="12" a="1"/>
  <c r="R13" i="12" s="1"/>
  <c r="R14" i="12" a="1"/>
  <c r="R14" i="12" s="1"/>
  <c r="R15" i="12" a="1"/>
  <c r="R15" i="12" s="1"/>
  <c r="R16" i="12" a="1"/>
  <c r="R16" i="12" s="1"/>
  <c r="R17" i="12" a="1"/>
  <c r="R17" i="12" s="1"/>
  <c r="R18" i="12" a="1"/>
  <c r="R18" i="12" s="1"/>
  <c r="P12" i="12"/>
  <c r="P13" i="12"/>
  <c r="O12" i="12"/>
  <c r="O13" i="12"/>
  <c r="R11" i="12" a="1"/>
  <c r="R11" i="12" s="1"/>
  <c r="T11" i="12" s="1"/>
  <c r="G12" i="12"/>
  <c r="G13" i="12"/>
  <c r="G14" i="12"/>
  <c r="P14" i="12" s="1"/>
  <c r="G15" i="12"/>
  <c r="P15" i="12" s="1"/>
  <c r="G16" i="12"/>
  <c r="P16" i="12" s="1"/>
  <c r="G17" i="12"/>
  <c r="P17" i="12" s="1"/>
  <c r="G18" i="12"/>
  <c r="P18" i="12" s="1"/>
  <c r="G11" i="12"/>
  <c r="P11" i="12" s="1"/>
  <c r="G11" i="22"/>
  <c r="G12" i="22"/>
  <c r="G13" i="22"/>
  <c r="S11" i="12" l="1"/>
  <c r="O11" i="12"/>
  <c r="O18" i="12"/>
  <c r="O17" i="12"/>
  <c r="O16" i="12"/>
  <c r="O15" i="12"/>
  <c r="O14" i="12"/>
  <c r="U11" i="12"/>
  <c r="V11" i="12" s="1"/>
  <c r="Z15" i="8"/>
  <c r="Z16" i="8"/>
  <c r="Z17" i="8"/>
  <c r="Z18" i="8"/>
  <c r="W15" i="8" a="1"/>
  <c r="W15" i="8" s="1"/>
  <c r="W16" i="8" a="1"/>
  <c r="W16" i="8" s="1"/>
  <c r="W17" i="8" a="1"/>
  <c r="W17" i="8" s="1"/>
  <c r="W18" i="8" a="1"/>
  <c r="W18" i="8" s="1"/>
  <c r="G13" i="13"/>
  <c r="G14" i="13"/>
  <c r="G15" i="13"/>
  <c r="G16" i="13"/>
  <c r="G17" i="13"/>
  <c r="G18" i="13"/>
  <c r="M26" i="13"/>
  <c r="M25" i="13"/>
  <c r="AM11" i="13" s="1"/>
  <c r="BB12" i="8"/>
  <c r="BB13" i="8"/>
  <c r="BB14" i="8"/>
  <c r="BB15" i="8"/>
  <c r="BB16" i="8"/>
  <c r="BB17" i="8"/>
  <c r="BB18" i="8"/>
  <c r="BB11" i="8"/>
  <c r="AH15" i="8" a="1"/>
  <c r="AH15" i="8" s="1"/>
  <c r="AH16" i="8" a="1"/>
  <c r="AH16" i="8" s="1"/>
  <c r="AH17" i="8" a="1"/>
  <c r="AH17" i="8" s="1"/>
  <c r="AH19" i="8" a="1"/>
  <c r="AH19" i="8" s="1"/>
  <c r="AG15" i="8" a="1"/>
  <c r="AG15" i="8" s="1"/>
  <c r="AG16" i="8" a="1"/>
  <c r="AG16" i="8" s="1"/>
  <c r="AG17" i="8" a="1"/>
  <c r="AG17" i="8" s="1"/>
  <c r="X12" i="8" a="1"/>
  <c r="X12" i="8" s="1"/>
  <c r="X13" i="8" a="1"/>
  <c r="X13" i="8" s="1"/>
  <c r="X14" i="8" a="1"/>
  <c r="X14" i="8" s="1"/>
  <c r="X15" i="8" a="1"/>
  <c r="X15" i="8" s="1"/>
  <c r="X16" i="8" a="1"/>
  <c r="X16" i="8" s="1"/>
  <c r="X17" i="8" a="1"/>
  <c r="X17" i="8" s="1"/>
  <c r="X18" i="8" a="1"/>
  <c r="X18" i="8" s="1"/>
  <c r="X11" i="8" a="1"/>
  <c r="X11" i="8" s="1"/>
  <c r="BQ12" i="22" l="1"/>
  <c r="BQ13" i="22"/>
  <c r="BQ14" i="22"/>
  <c r="BQ15" i="22"/>
  <c r="BQ16" i="22"/>
  <c r="BQ17" i="22"/>
  <c r="BQ11" i="22"/>
  <c r="BG12" i="22" a="1"/>
  <c r="BG12" i="22" s="1"/>
  <c r="AW12" i="22" s="1" a="1"/>
  <c r="AW12" i="22" s="1"/>
  <c r="BG13" i="22" a="1"/>
  <c r="BG13" i="22" s="1"/>
  <c r="BL13" i="22" s="1"/>
  <c r="BG14" i="22" a="1"/>
  <c r="BG14" i="22" s="1"/>
  <c r="BL14" i="22" s="1"/>
  <c r="BG15" i="22" a="1"/>
  <c r="BG15" i="22" s="1"/>
  <c r="BG16" i="22" a="1"/>
  <c r="BG16" i="22" s="1"/>
  <c r="BG17" i="22" a="1"/>
  <c r="BG17" i="22" s="1"/>
  <c r="BL17" i="22" s="1"/>
  <c r="BG18" i="22" a="1"/>
  <c r="BG18" i="22" s="1"/>
  <c r="BG11" i="22" a="1"/>
  <c r="BG11" i="22" s="1"/>
  <c r="BL11" i="22" s="1"/>
  <c r="BI12" i="22"/>
  <c r="BI13" i="22"/>
  <c r="BI14" i="22"/>
  <c r="BI15" i="22"/>
  <c r="BI16" i="22"/>
  <c r="BI17" i="22"/>
  <c r="BI18" i="22"/>
  <c r="BI11" i="22"/>
  <c r="M26" i="22"/>
  <c r="M25" i="22"/>
  <c r="AZ14" i="22"/>
  <c r="BA14" i="22"/>
  <c r="AZ15" i="22"/>
  <c r="BA15" i="22"/>
  <c r="AZ16" i="22"/>
  <c r="BA16" i="22"/>
  <c r="AZ17" i="22"/>
  <c r="BA17" i="22"/>
  <c r="AZ18" i="22"/>
  <c r="BA18" i="22"/>
  <c r="BC14" i="22"/>
  <c r="BC15" i="22"/>
  <c r="BC16" i="22"/>
  <c r="BC17" i="22"/>
  <c r="BC18" i="22"/>
  <c r="AJ12" i="22"/>
  <c r="AJ13" i="22"/>
  <c r="AJ14" i="22"/>
  <c r="AJ15" i="22"/>
  <c r="AJ16" i="22"/>
  <c r="AJ17" i="22"/>
  <c r="AJ18" i="22"/>
  <c r="AJ11" i="22"/>
  <c r="AB12" i="22"/>
  <c r="AB13" i="22"/>
  <c r="AB14" i="22"/>
  <c r="AB15" i="22"/>
  <c r="AB16" i="22"/>
  <c r="AB17" i="22"/>
  <c r="AB18" i="22"/>
  <c r="AB11" i="22"/>
  <c r="AA14" i="22"/>
  <c r="AA15" i="22"/>
  <c r="AA16" i="22"/>
  <c r="AA17" i="22"/>
  <c r="AA18" i="22"/>
  <c r="AY14" i="22" a="1"/>
  <c r="AY14" i="22" s="1"/>
  <c r="AY15" i="22" a="1"/>
  <c r="AY15" i="22" s="1"/>
  <c r="AY16" i="22" a="1"/>
  <c r="AY16" i="22" s="1"/>
  <c r="AY17" i="22" a="1"/>
  <c r="AY17" i="22" s="1"/>
  <c r="AY18" i="22" a="1"/>
  <c r="AY18" i="22" s="1"/>
  <c r="J26" i="22"/>
  <c r="AT14" i="22" a="1"/>
  <c r="AT14" i="22" s="1"/>
  <c r="AT15" i="22" a="1"/>
  <c r="AT15" i="22" s="1"/>
  <c r="AT16" i="22" a="1"/>
  <c r="AT16" i="22" s="1"/>
  <c r="AT17" i="22" a="1"/>
  <c r="AT17" i="22" s="1"/>
  <c r="AT18" i="22" a="1"/>
  <c r="AT18" i="22" s="1"/>
  <c r="AR14" i="22" a="1"/>
  <c r="AR14" i="22" s="1"/>
  <c r="AR15" i="22" a="1"/>
  <c r="AR15" i="22" s="1"/>
  <c r="AR16" i="22" a="1"/>
  <c r="AR16" i="22" s="1"/>
  <c r="AR17" i="22" a="1"/>
  <c r="AR17" i="22" s="1"/>
  <c r="AR18" i="22" a="1"/>
  <c r="AR18" i="22" s="1"/>
  <c r="AQ14" i="22" a="1"/>
  <c r="AQ14" i="22" s="1"/>
  <c r="AQ15" i="22" a="1"/>
  <c r="AQ15" i="22" s="1"/>
  <c r="AQ16" i="22" a="1"/>
  <c r="AQ16" i="22" s="1"/>
  <c r="AQ17" i="22" a="1"/>
  <c r="AQ17" i="22" s="1"/>
  <c r="AQ18" i="22" a="1"/>
  <c r="AQ18" i="22" s="1"/>
  <c r="AP14" i="22" a="1"/>
  <c r="AP14" i="22" s="1"/>
  <c r="BB14" i="22" s="1"/>
  <c r="AP15" i="22" a="1"/>
  <c r="AP15" i="22" s="1"/>
  <c r="BB15" i="22" s="1"/>
  <c r="AP16" i="22" a="1"/>
  <c r="AP16" i="22" s="1"/>
  <c r="BB16" i="22" s="1"/>
  <c r="AP17" i="22" a="1"/>
  <c r="AP17" i="22" s="1"/>
  <c r="BB17" i="22" s="1"/>
  <c r="AP18" i="22" a="1"/>
  <c r="AP18" i="22" s="1"/>
  <c r="BB18" i="22" s="1"/>
  <c r="AU14" i="22" a="1"/>
  <c r="AU14" i="22" s="1"/>
  <c r="AV14" i="22" a="1"/>
  <c r="AV14" i="22" s="1"/>
  <c r="AW14" i="22" a="1"/>
  <c r="AW14" i="22" s="1"/>
  <c r="AX14" i="22" a="1"/>
  <c r="AX14" i="22" s="1"/>
  <c r="AU15" i="22" a="1"/>
  <c r="AU15" i="22" s="1"/>
  <c r="AV15" i="22" a="1"/>
  <c r="AV15" i="22" s="1"/>
  <c r="AW15" i="22" a="1"/>
  <c r="AW15" i="22" s="1"/>
  <c r="AX15" i="22" a="1"/>
  <c r="AX15" i="22" s="1"/>
  <c r="AU16" i="22" a="1"/>
  <c r="AU16" i="22" s="1"/>
  <c r="AV16" i="22" a="1"/>
  <c r="AV16" i="22" s="1"/>
  <c r="AW16" i="22" a="1"/>
  <c r="AW16" i="22" s="1"/>
  <c r="AX16" i="22" a="1"/>
  <c r="AX16" i="22" s="1"/>
  <c r="AU17" i="22" a="1"/>
  <c r="AU17" i="22" s="1"/>
  <c r="AV17" i="22" a="1"/>
  <c r="AV17" i="22" s="1"/>
  <c r="AW17" i="22" a="1"/>
  <c r="AW17" i="22" s="1"/>
  <c r="AX17" i="22" a="1"/>
  <c r="AX17" i="22" s="1"/>
  <c r="AU18" i="22" a="1"/>
  <c r="AU18" i="22" s="1"/>
  <c r="AV18" i="22" a="1"/>
  <c r="AV18" i="22" s="1"/>
  <c r="AW18" i="22" a="1"/>
  <c r="AW18" i="22" s="1"/>
  <c r="AX18" i="22" a="1"/>
  <c r="AX18" i="22" s="1"/>
  <c r="AU13" i="22" l="1" a="1"/>
  <c r="AU13" i="22" s="1"/>
  <c r="AP13" i="22" a="1"/>
  <c r="AP13" i="22" s="1"/>
  <c r="AX13" i="22" a="1"/>
  <c r="AX13" i="22" s="1"/>
  <c r="AW13" i="22" a="1"/>
  <c r="AW13" i="22" s="1"/>
  <c r="AR13" i="22" a="1"/>
  <c r="AR13" i="22" s="1"/>
  <c r="AV13" i="22" a="1"/>
  <c r="AV13" i="22" s="1"/>
  <c r="AA13" i="22" s="1"/>
  <c r="AY13" i="22" a="1"/>
  <c r="AY13" i="22" s="1"/>
  <c r="AT13" i="22" a="1"/>
  <c r="AT13" i="22" s="1"/>
  <c r="BK18" i="22"/>
  <c r="BL18" i="22"/>
  <c r="BL16" i="22"/>
  <c r="BK16" i="22"/>
  <c r="BL15" i="22"/>
  <c r="BK15" i="22"/>
  <c r="BK17" i="22"/>
  <c r="BK14" i="22"/>
  <c r="BK11" i="22"/>
  <c r="BK13" i="22"/>
  <c r="BK12" i="22"/>
  <c r="BL12" i="22"/>
  <c r="AP11" i="22" a="1"/>
  <c r="AP11" i="22" s="1"/>
  <c r="AT11" i="22" a="1"/>
  <c r="AT11" i="22" s="1"/>
  <c r="AV11" i="22" a="1"/>
  <c r="AV11" i="22" s="1"/>
  <c r="AA11" i="22" s="1"/>
  <c r="AY11" i="22" a="1"/>
  <c r="AY11" i="22" s="1"/>
  <c r="AY12" i="22" a="1"/>
  <c r="AY12" i="22" s="1"/>
  <c r="AS11" i="22" a="1"/>
  <c r="AS11" i="22" s="1"/>
  <c r="AP12" i="22" a="1"/>
  <c r="AP12" i="22" s="1"/>
  <c r="AT12" i="22" a="1"/>
  <c r="AT12" i="22" s="1"/>
  <c r="AX11" i="22" a="1"/>
  <c r="AX11" i="22" s="1"/>
  <c r="AV12" i="22" a="1"/>
  <c r="AV12" i="22" s="1"/>
  <c r="AA12" i="22" s="1"/>
  <c r="AU12" i="22" a="1"/>
  <c r="AU12" i="22" s="1"/>
  <c r="AX12" i="22" a="1"/>
  <c r="AX12" i="22" s="1"/>
  <c r="AW11" i="22" a="1"/>
  <c r="AW11" i="22" s="1"/>
  <c r="AS14" i="22" l="1" a="1"/>
  <c r="AS14" i="22" s="1"/>
  <c r="AS15" i="22" a="1"/>
  <c r="AS15" i="22" s="1"/>
  <c r="AS16" i="22" a="1"/>
  <c r="AS16" i="22" s="1"/>
  <c r="AS17" i="22" a="1"/>
  <c r="AS17" i="22" s="1"/>
  <c r="AS18" i="22" a="1"/>
  <c r="AS18" i="22" s="1"/>
  <c r="F25" i="22"/>
  <c r="F26" i="22"/>
  <c r="G11" i="8"/>
  <c r="AU11" i="22" a="1"/>
  <c r="AU11" i="22" s="1"/>
  <c r="F67" i="8"/>
  <c r="I67" i="8" s="1"/>
  <c r="AC11" i="8"/>
  <c r="G73" i="8"/>
  <c r="J73" i="8" s="1"/>
  <c r="Y12" i="11"/>
  <c r="X12" i="11"/>
  <c r="W12" i="11"/>
  <c r="W11" i="11"/>
  <c r="X11" i="11"/>
  <c r="F73" i="8"/>
  <c r="I73" i="8" s="1"/>
  <c r="F72" i="8"/>
  <c r="F71" i="8"/>
  <c r="F66" i="8"/>
  <c r="F65" i="8"/>
  <c r="F36" i="8"/>
  <c r="F35" i="8"/>
  <c r="F30" i="8"/>
  <c r="F29" i="8"/>
  <c r="D23" i="8"/>
  <c r="C22" i="8"/>
  <c r="AZ12" i="13"/>
  <c r="AZ13" i="13"/>
  <c r="AZ14" i="13"/>
  <c r="AZ15" i="13"/>
  <c r="AZ16" i="13"/>
  <c r="AZ17" i="13"/>
  <c r="AZ18" i="13"/>
  <c r="AZ11" i="13"/>
  <c r="AS12" i="22" l="1" a="1"/>
  <c r="AS12" i="22" s="1"/>
  <c r="AH12" i="11"/>
  <c r="AH13" i="11"/>
  <c r="AH14" i="11"/>
  <c r="AH15" i="11"/>
  <c r="AH16" i="11"/>
  <c r="AH17" i="11"/>
  <c r="AH18" i="11"/>
  <c r="Z12" i="11"/>
  <c r="Z13" i="11"/>
  <c r="Z14" i="11"/>
  <c r="Z15" i="11"/>
  <c r="Z16" i="11"/>
  <c r="Z17" i="11"/>
  <c r="Z18" i="11"/>
  <c r="AD12" i="11"/>
  <c r="AD13" i="11"/>
  <c r="AD14" i="11"/>
  <c r="AD15" i="11"/>
  <c r="AD16" i="11"/>
  <c r="AD17" i="11"/>
  <c r="AD18" i="11"/>
  <c r="AF12" i="11"/>
  <c r="AF13" i="11"/>
  <c r="AF14" i="11"/>
  <c r="AF15" i="11"/>
  <c r="AF16" i="11"/>
  <c r="AF17" i="11"/>
  <c r="AF18" i="11"/>
  <c r="AF11" i="11"/>
  <c r="AB18" i="11"/>
  <c r="AB12" i="11"/>
  <c r="AB13" i="11"/>
  <c r="AB14" i="11"/>
  <c r="AB15" i="11"/>
  <c r="AB16" i="11"/>
  <c r="AB17" i="11"/>
  <c r="AC13" i="8"/>
  <c r="AC14" i="8"/>
  <c r="AC15" i="8"/>
  <c r="AC16" i="8"/>
  <c r="AC17" i="8"/>
  <c r="AC18" i="8"/>
  <c r="AK12" i="22"/>
  <c r="AK13" i="22"/>
  <c r="AK14" i="22"/>
  <c r="AK15" i="22"/>
  <c r="AK16" i="22"/>
  <c r="AK17" i="22"/>
  <c r="AK18" i="22"/>
  <c r="AK11" i="22"/>
  <c r="AJ12" i="11"/>
  <c r="AJ13" i="11"/>
  <c r="AJ14" i="11"/>
  <c r="AJ15" i="11"/>
  <c r="AJ16" i="11"/>
  <c r="AJ17" i="11"/>
  <c r="AJ18" i="11"/>
  <c r="AJ11" i="11"/>
  <c r="AH11" i="11"/>
  <c r="AD11" i="11"/>
  <c r="Z11" i="11"/>
  <c r="AJ19" i="11"/>
  <c r="BN14" i="22"/>
  <c r="BN15" i="22"/>
  <c r="BN16" i="22"/>
  <c r="BN17" i="22"/>
  <c r="BN18" i="22"/>
  <c r="AG12" i="22"/>
  <c r="AG13" i="22"/>
  <c r="AG14" i="22"/>
  <c r="AG15" i="22"/>
  <c r="AG16" i="22"/>
  <c r="AG17" i="22"/>
  <c r="AG18" i="22"/>
  <c r="BP12" i="22"/>
  <c r="BP13" i="22"/>
  <c r="BO14" i="22"/>
  <c r="BP14" i="22"/>
  <c r="BO15" i="22"/>
  <c r="BP15" i="22"/>
  <c r="BO16" i="22"/>
  <c r="BP16" i="22"/>
  <c r="BO17" i="22"/>
  <c r="BP17" i="22"/>
  <c r="BO18" i="22"/>
  <c r="BP18" i="22"/>
  <c r="BQ18" i="22"/>
  <c r="AY12" i="11"/>
  <c r="AZ12" i="11"/>
  <c r="AV13" i="11"/>
  <c r="AW13" i="11"/>
  <c r="AX13" i="11"/>
  <c r="AY13" i="11"/>
  <c r="AZ13" i="11"/>
  <c r="AV14" i="11"/>
  <c r="AW14" i="11"/>
  <c r="AX14" i="11"/>
  <c r="AY14" i="11"/>
  <c r="AZ14" i="11"/>
  <c r="AV15" i="11"/>
  <c r="AW15" i="11"/>
  <c r="AX15" i="11"/>
  <c r="AY15" i="11"/>
  <c r="AZ15" i="11"/>
  <c r="AV16" i="11"/>
  <c r="AW16" i="11"/>
  <c r="AX16" i="11"/>
  <c r="AY16" i="11"/>
  <c r="AZ16" i="11"/>
  <c r="AV17" i="11"/>
  <c r="AW17" i="11"/>
  <c r="AX17" i="11"/>
  <c r="AY17" i="11"/>
  <c r="AZ17" i="11"/>
  <c r="AY18" i="11"/>
  <c r="AZ18" i="11"/>
  <c r="AZ11" i="11"/>
  <c r="AG11" i="11"/>
  <c r="AX11" i="11" s="1"/>
  <c r="Y12" i="22"/>
  <c r="AI12" i="22" s="1"/>
  <c r="Y13" i="22"/>
  <c r="BM13" i="22" s="1"/>
  <c r="Y14" i="22"/>
  <c r="AI14" i="22" s="1"/>
  <c r="Y15" i="22"/>
  <c r="BM15" i="22" s="1"/>
  <c r="Y16" i="22"/>
  <c r="BM16" i="22" s="1"/>
  <c r="Y17" i="22"/>
  <c r="AI17" i="22" s="1"/>
  <c r="Y18" i="22"/>
  <c r="AI18" i="22" s="1"/>
  <c r="AC12" i="8"/>
  <c r="BA12" i="8"/>
  <c r="BA13" i="8"/>
  <c r="BA14" i="8"/>
  <c r="AY15" i="8"/>
  <c r="AZ15" i="8"/>
  <c r="BA15" i="8"/>
  <c r="AY16" i="8"/>
  <c r="AZ16" i="8"/>
  <c r="BA16" i="8"/>
  <c r="AY17" i="8"/>
  <c r="AZ17" i="8"/>
  <c r="BA17" i="8"/>
  <c r="BA18" i="8"/>
  <c r="AI16" i="22" l="1"/>
  <c r="BM14" i="22"/>
  <c r="AI15" i="22"/>
  <c r="AI13" i="22"/>
  <c r="BM17" i="22"/>
  <c r="BM18" i="22"/>
  <c r="AX17" i="8"/>
  <c r="AW17" i="8"/>
  <c r="AX16" i="8"/>
  <c r="AW16" i="8"/>
  <c r="AW15" i="8"/>
  <c r="AX15" i="8"/>
  <c r="AW14" i="8"/>
  <c r="AX14" i="8"/>
  <c r="AW13" i="8"/>
  <c r="AX13" i="8"/>
  <c r="AW18" i="8"/>
  <c r="AX18" i="8"/>
  <c r="AX12" i="8"/>
  <c r="AW12" i="8"/>
  <c r="BA11" i="8"/>
  <c r="AY11" i="11"/>
  <c r="BP11" i="22"/>
  <c r="AR11" i="11"/>
  <c r="BE11" i="22"/>
  <c r="AO11" i="22"/>
  <c r="AQ11" i="22" s="1" a="1"/>
  <c r="AQ11" i="22" s="1"/>
  <c r="AG11" i="22"/>
  <c r="Y11" i="22"/>
  <c r="AI11" i="22" s="1"/>
  <c r="AR11" i="22" l="1" a="1"/>
  <c r="AR11" i="22" s="1"/>
  <c r="BM11" i="22"/>
  <c r="AZ11" i="22" l="1"/>
  <c r="BN11" i="22"/>
  <c r="AX11" i="8"/>
  <c r="AW11" i="8"/>
  <c r="BO11" i="22"/>
  <c r="W11" i="22"/>
  <c r="V11" i="8" l="1"/>
  <c r="G12" i="10" l="1"/>
  <c r="W15" i="20"/>
  <c r="W14" i="20"/>
  <c r="W13" i="20"/>
  <c r="W12" i="20"/>
  <c r="W11" i="20"/>
  <c r="W10" i="20"/>
  <c r="W9" i="20"/>
  <c r="U15" i="20"/>
  <c r="U14" i="20"/>
  <c r="U13" i="20"/>
  <c r="U11" i="20"/>
  <c r="U12" i="20"/>
  <c r="U10" i="20"/>
  <c r="U9" i="20"/>
  <c r="G18" i="22"/>
  <c r="G17" i="22"/>
  <c r="G16" i="22"/>
  <c r="G15" i="22"/>
  <c r="G14" i="22"/>
  <c r="AE11" i="22"/>
  <c r="W12" i="22"/>
  <c r="AE12" i="22"/>
  <c r="AO12" i="22"/>
  <c r="BE12" i="22"/>
  <c r="B19" i="4" s="1"/>
  <c r="BV19" i="4" s="1"/>
  <c r="W13" i="22"/>
  <c r="X13" i="22"/>
  <c r="AE13" i="22"/>
  <c r="AF13" i="22"/>
  <c r="BH13" i="22" s="1"/>
  <c r="AO13" i="22"/>
  <c r="AQ13" i="22" s="1" a="1"/>
  <c r="AQ13" i="22" s="1"/>
  <c r="BE13" i="22"/>
  <c r="B20" i="4" s="1"/>
  <c r="AZ20" i="4" s="1"/>
  <c r="W14" i="22"/>
  <c r="X14" i="22"/>
  <c r="AE14" i="22"/>
  <c r="AF14" i="22"/>
  <c r="AO14" i="22"/>
  <c r="BE14" i="22"/>
  <c r="B21" i="4" s="1"/>
  <c r="BR21" i="4" s="1"/>
  <c r="BH14" i="22"/>
  <c r="W15" i="22"/>
  <c r="X15" i="22"/>
  <c r="AE15" i="22"/>
  <c r="AF15" i="22"/>
  <c r="AO15" i="22"/>
  <c r="BE15" i="22"/>
  <c r="B22" i="4" s="1"/>
  <c r="BV22" i="4" s="1"/>
  <c r="BH15" i="22"/>
  <c r="W16" i="22"/>
  <c r="X16" i="22"/>
  <c r="AE16" i="22"/>
  <c r="AF16" i="22"/>
  <c r="AO16" i="22"/>
  <c r="BE16" i="22"/>
  <c r="B23" i="4" s="1"/>
  <c r="AZ23" i="4" s="1"/>
  <c r="BH16" i="22"/>
  <c r="W17" i="22"/>
  <c r="X17" i="22"/>
  <c r="AE17" i="22"/>
  <c r="AF17" i="22"/>
  <c r="AO17" i="22"/>
  <c r="BE17" i="22"/>
  <c r="B24" i="4" s="1"/>
  <c r="BR24" i="4" s="1"/>
  <c r="BH17" i="22"/>
  <c r="W18" i="22"/>
  <c r="X18" i="22"/>
  <c r="AE18" i="22"/>
  <c r="AF18" i="22"/>
  <c r="AO18" i="22"/>
  <c r="BE18" i="22"/>
  <c r="B25" i="4" s="1"/>
  <c r="BV25" i="4" s="1"/>
  <c r="BH18" i="22"/>
  <c r="BN13" i="22" l="1"/>
  <c r="AZ13" i="22"/>
  <c r="BA13" i="22"/>
  <c r="BF18" i="22" a="1"/>
  <c r="BF18" i="22" s="1"/>
  <c r="BJ18" i="22"/>
  <c r="BF17" i="22" a="1"/>
  <c r="BF17" i="22" s="1"/>
  <c r="BJ17" i="22"/>
  <c r="BJ16" i="22"/>
  <c r="BF16" i="22" a="1"/>
  <c r="BF16" i="22" s="1"/>
  <c r="BJ13" i="22"/>
  <c r="BF13" i="22" a="1"/>
  <c r="BF13" i="22" s="1"/>
  <c r="BJ14" i="22"/>
  <c r="BF14" i="22" a="1"/>
  <c r="BF14" i="22" s="1"/>
  <c r="BJ15" i="22"/>
  <c r="BF15" i="22" a="1"/>
  <c r="BF15" i="22" s="1"/>
  <c r="AQ12" i="22" a="1"/>
  <c r="AQ12" i="22" s="1"/>
  <c r="AR12" i="22" a="1"/>
  <c r="AR12" i="22" s="1"/>
  <c r="AT19" i="4" s="1"/>
  <c r="AS13" i="22" a="1"/>
  <c r="AS13" i="22" s="1"/>
  <c r="BC13" i="22" s="1"/>
  <c r="AN15" i="22"/>
  <c r="AI22" i="4" s="1"/>
  <c r="AL15" i="22"/>
  <c r="AM13" i="22"/>
  <c r="AN13" i="22"/>
  <c r="AL13" i="22"/>
  <c r="BB13" i="22" s="1"/>
  <c r="AL16" i="22"/>
  <c r="AN16" i="22"/>
  <c r="AN14" i="22"/>
  <c r="AL14" i="22"/>
  <c r="AM17" i="22"/>
  <c r="AN17" i="22"/>
  <c r="AL17" i="22"/>
  <c r="AL18" i="22"/>
  <c r="AN18" i="22"/>
  <c r="AN12" i="22"/>
  <c r="AI19" i="4" s="1"/>
  <c r="AL12" i="22"/>
  <c r="BB12" i="22" s="1"/>
  <c r="AL11" i="22"/>
  <c r="BB11" i="22" s="1"/>
  <c r="AN11" i="22"/>
  <c r="BA11" i="22" s="1"/>
  <c r="AD19" i="4"/>
  <c r="AU19" i="4"/>
  <c r="AF12" i="22"/>
  <c r="AM11" i="22"/>
  <c r="BC11" i="22" s="1"/>
  <c r="P22" i="4"/>
  <c r="Q22" i="4"/>
  <c r="AA22" i="4"/>
  <c r="AX22" i="4"/>
  <c r="AX25" i="4"/>
  <c r="AW22" i="4"/>
  <c r="AG19" i="4"/>
  <c r="BT24" i="4"/>
  <c r="P25" i="4"/>
  <c r="AG22" i="4"/>
  <c r="AG25" i="4"/>
  <c r="Q25" i="4"/>
  <c r="AW25" i="4"/>
  <c r="L24" i="4"/>
  <c r="AA24" i="4"/>
  <c r="M24" i="4"/>
  <c r="AC24" i="4"/>
  <c r="AS24" i="4"/>
  <c r="AT24" i="4"/>
  <c r="BS24" i="4"/>
  <c r="AS22" i="4"/>
  <c r="L22" i="4"/>
  <c r="AS21" i="4"/>
  <c r="AA21" i="4"/>
  <c r="BS21" i="4"/>
  <c r="AC21" i="4"/>
  <c r="AT21" i="4"/>
  <c r="BT21" i="4"/>
  <c r="L21" i="4"/>
  <c r="M21" i="4"/>
  <c r="AA19" i="4"/>
  <c r="AW19" i="4"/>
  <c r="AX19" i="4"/>
  <c r="BS19" i="4"/>
  <c r="L19" i="4"/>
  <c r="P19" i="4"/>
  <c r="Q19" i="4"/>
  <c r="AM20" i="4"/>
  <c r="AM23" i="4"/>
  <c r="AO20" i="4"/>
  <c r="R19" i="4"/>
  <c r="AJ19" i="4"/>
  <c r="AY19" i="4"/>
  <c r="J20" i="4"/>
  <c r="Y20" i="4"/>
  <c r="AP20" i="4"/>
  <c r="BQ20" i="4"/>
  <c r="N21" i="4"/>
  <c r="AD21" i="4"/>
  <c r="AU21" i="4"/>
  <c r="BU21" i="4"/>
  <c r="R22" i="4"/>
  <c r="AJ22" i="4"/>
  <c r="AY22" i="4"/>
  <c r="J23" i="4"/>
  <c r="Y23" i="4"/>
  <c r="AP23" i="4"/>
  <c r="BQ23" i="4"/>
  <c r="N24" i="4"/>
  <c r="AD24" i="4"/>
  <c r="AU24" i="4"/>
  <c r="BU24" i="4"/>
  <c r="R25" i="4"/>
  <c r="AJ25" i="4"/>
  <c r="AY25" i="4"/>
  <c r="S19" i="4"/>
  <c r="AZ19" i="4"/>
  <c r="K20" i="4"/>
  <c r="AQ20" i="4"/>
  <c r="BR20" i="4"/>
  <c r="O21" i="4"/>
  <c r="AF21" i="4"/>
  <c r="AV21" i="4"/>
  <c r="BV21" i="4"/>
  <c r="S22" i="4"/>
  <c r="AL22" i="4"/>
  <c r="AZ22" i="4"/>
  <c r="K23" i="4"/>
  <c r="AQ23" i="4"/>
  <c r="BR23" i="4"/>
  <c r="O24" i="4"/>
  <c r="AF24" i="4"/>
  <c r="AV24" i="4"/>
  <c r="BV24" i="4"/>
  <c r="S25" i="4"/>
  <c r="AL25" i="4"/>
  <c r="AZ25" i="4"/>
  <c r="BC20" i="4"/>
  <c r="BC23" i="4"/>
  <c r="G23" i="4"/>
  <c r="U23" i="4"/>
  <c r="AO23" i="4"/>
  <c r="BP23" i="4"/>
  <c r="T19" i="4"/>
  <c r="BC19" i="4"/>
  <c r="L20" i="4"/>
  <c r="AA20" i="4"/>
  <c r="AS20" i="4"/>
  <c r="BS20" i="4"/>
  <c r="P21" i="4"/>
  <c r="AG21" i="4"/>
  <c r="AW21" i="4"/>
  <c r="T22" i="4"/>
  <c r="AM22" i="4"/>
  <c r="BC22" i="4"/>
  <c r="L23" i="4"/>
  <c r="AA23" i="4"/>
  <c r="AS23" i="4"/>
  <c r="BS23" i="4"/>
  <c r="P24" i="4"/>
  <c r="AG24" i="4"/>
  <c r="AW24" i="4"/>
  <c r="T25" i="4"/>
  <c r="AM25" i="4"/>
  <c r="BC25" i="4"/>
  <c r="T20" i="4"/>
  <c r="G19" i="4"/>
  <c r="U19" i="4"/>
  <c r="AO19" i="4"/>
  <c r="BP19" i="4"/>
  <c r="M20" i="4"/>
  <c r="AT20" i="4"/>
  <c r="BT20" i="4"/>
  <c r="Q21" i="4"/>
  <c r="AX21" i="4"/>
  <c r="G22" i="4"/>
  <c r="U22" i="4"/>
  <c r="AO22" i="4"/>
  <c r="BP22" i="4"/>
  <c r="M23" i="4"/>
  <c r="AC23" i="4"/>
  <c r="AT23" i="4"/>
  <c r="BT23" i="4"/>
  <c r="Q24" i="4"/>
  <c r="AX24" i="4"/>
  <c r="G25" i="4"/>
  <c r="U25" i="4"/>
  <c r="AO25" i="4"/>
  <c r="BP25" i="4"/>
  <c r="BP20" i="4"/>
  <c r="J19" i="4"/>
  <c r="Y19" i="4"/>
  <c r="AP19" i="4"/>
  <c r="BQ19" i="4"/>
  <c r="N20" i="4"/>
  <c r="AD20" i="4"/>
  <c r="AU20" i="4"/>
  <c r="BU20" i="4"/>
  <c r="R21" i="4"/>
  <c r="AJ21" i="4"/>
  <c r="AY21" i="4"/>
  <c r="J22" i="4"/>
  <c r="Y22" i="4"/>
  <c r="AP22" i="4"/>
  <c r="BQ22" i="4"/>
  <c r="N23" i="4"/>
  <c r="AD23" i="4"/>
  <c r="AU23" i="4"/>
  <c r="BU23" i="4"/>
  <c r="R24" i="4"/>
  <c r="AJ24" i="4"/>
  <c r="AY24" i="4"/>
  <c r="J25" i="4"/>
  <c r="Y25" i="4"/>
  <c r="AP25" i="4"/>
  <c r="BQ25" i="4"/>
  <c r="K19" i="4"/>
  <c r="AQ19" i="4"/>
  <c r="BR19" i="4"/>
  <c r="O20" i="4"/>
  <c r="AF20" i="4"/>
  <c r="AV20" i="4"/>
  <c r="BV20" i="4"/>
  <c r="S21" i="4"/>
  <c r="AL21" i="4"/>
  <c r="AZ21" i="4"/>
  <c r="K22" i="4"/>
  <c r="AQ22" i="4"/>
  <c r="BR22" i="4"/>
  <c r="O23" i="4"/>
  <c r="AF23" i="4"/>
  <c r="AV23" i="4"/>
  <c r="BV23" i="4"/>
  <c r="S24" i="4"/>
  <c r="AL24" i="4"/>
  <c r="AZ24" i="4"/>
  <c r="K25" i="4"/>
  <c r="AQ25" i="4"/>
  <c r="BR25" i="4"/>
  <c r="T23" i="4"/>
  <c r="G20" i="4"/>
  <c r="P20" i="4"/>
  <c r="AG20" i="4"/>
  <c r="T21" i="4"/>
  <c r="BC21" i="4"/>
  <c r="BS22" i="4"/>
  <c r="P23" i="4"/>
  <c r="AG23" i="4"/>
  <c r="AW23" i="4"/>
  <c r="T24" i="4"/>
  <c r="AM24" i="4"/>
  <c r="BC24" i="4"/>
  <c r="L25" i="4"/>
  <c r="AA25" i="4"/>
  <c r="AS25" i="4"/>
  <c r="BS25" i="4"/>
  <c r="AM21" i="4"/>
  <c r="M19" i="4"/>
  <c r="BT19" i="4"/>
  <c r="Q20" i="4"/>
  <c r="AX20" i="4"/>
  <c r="G21" i="4"/>
  <c r="U21" i="4"/>
  <c r="AO21" i="4"/>
  <c r="BP21" i="4"/>
  <c r="M22" i="4"/>
  <c r="AC22" i="4"/>
  <c r="AT22" i="4"/>
  <c r="BT22" i="4"/>
  <c r="Q23" i="4"/>
  <c r="AX23" i="4"/>
  <c r="G24" i="4"/>
  <c r="U24" i="4"/>
  <c r="AO24" i="4"/>
  <c r="BP24" i="4"/>
  <c r="M25" i="4"/>
  <c r="AC25" i="4"/>
  <c r="AT25" i="4"/>
  <c r="BT25" i="4"/>
  <c r="U20" i="4"/>
  <c r="AW20" i="4"/>
  <c r="N19" i="4"/>
  <c r="BU19" i="4"/>
  <c r="R20" i="4"/>
  <c r="AJ20" i="4"/>
  <c r="AY20" i="4"/>
  <c r="J21" i="4"/>
  <c r="Y21" i="4"/>
  <c r="AP21" i="4"/>
  <c r="BQ21" i="4"/>
  <c r="N22" i="4"/>
  <c r="AD22" i="4"/>
  <c r="AU22" i="4"/>
  <c r="BU22" i="4"/>
  <c r="R23" i="4"/>
  <c r="AJ23" i="4"/>
  <c r="AY23" i="4"/>
  <c r="J24" i="4"/>
  <c r="Y24" i="4"/>
  <c r="AP24" i="4"/>
  <c r="BQ24" i="4"/>
  <c r="N25" i="4"/>
  <c r="AD25" i="4"/>
  <c r="AU25" i="4"/>
  <c r="BU25" i="4"/>
  <c r="O19" i="4"/>
  <c r="AF19" i="4"/>
  <c r="S20" i="4"/>
  <c r="K21" i="4"/>
  <c r="AQ21" i="4"/>
  <c r="O22" i="4"/>
  <c r="AF22" i="4"/>
  <c r="AV22" i="4"/>
  <c r="S23" i="4"/>
  <c r="AL23" i="4"/>
  <c r="K24" i="4"/>
  <c r="AQ24" i="4"/>
  <c r="O25" i="4"/>
  <c r="AF25" i="4"/>
  <c r="AV25" i="4"/>
  <c r="X11" i="22"/>
  <c r="AF11" i="22"/>
  <c r="AM18" i="22"/>
  <c r="AM16" i="22"/>
  <c r="AM15" i="22"/>
  <c r="AM14" i="22"/>
  <c r="AM12" i="22"/>
  <c r="BC12" i="22" s="1"/>
  <c r="AC20" i="4" l="1"/>
  <c r="BO13" i="22"/>
  <c r="AL20" i="4"/>
  <c r="BA12" i="22"/>
  <c r="AZ12" i="22"/>
  <c r="AI21" i="4"/>
  <c r="BD13" i="22"/>
  <c r="AI23" i="4"/>
  <c r="Z23" i="4"/>
  <c r="Z22" i="4"/>
  <c r="Z19" i="4"/>
  <c r="AL19" i="4"/>
  <c r="BO12" i="22"/>
  <c r="AS19" i="4"/>
  <c r="BN12" i="22"/>
  <c r="BM12" i="22"/>
  <c r="BH11" i="22"/>
  <c r="X12" i="22"/>
  <c r="BH12" i="22" s="1"/>
  <c r="AC19" i="4"/>
  <c r="AM19" i="4"/>
  <c r="AV19" i="4"/>
  <c r="Z25" i="4"/>
  <c r="Z21" i="4"/>
  <c r="AI24" i="4"/>
  <c r="AI20" i="4"/>
  <c r="AI25" i="4"/>
  <c r="Z24" i="4"/>
  <c r="Z20" i="4"/>
  <c r="BD17" i="22"/>
  <c r="BD18" i="22"/>
  <c r="BD15" i="22"/>
  <c r="BD14" i="22"/>
  <c r="BD16" i="22"/>
  <c r="BF11" i="22" l="1" a="1"/>
  <c r="BF11" i="22" s="1"/>
  <c r="B18" i="4" s="1"/>
  <c r="BJ11" i="22"/>
  <c r="BJ12" i="22"/>
  <c r="BF12" i="22" a="1"/>
  <c r="BF12" i="22" s="1"/>
  <c r="BD11" i="22"/>
  <c r="BD12" i="22"/>
  <c r="D18" i="23"/>
  <c r="C22" i="3" s="1"/>
  <c r="BR18" i="4" l="1"/>
  <c r="BV18" i="4"/>
  <c r="AX18" i="4"/>
  <c r="Y18" i="4"/>
  <c r="N18" i="4"/>
  <c r="BC18" i="4"/>
  <c r="R18" i="4"/>
  <c r="T18" i="4"/>
  <c r="AP18" i="4"/>
  <c r="AJ18" i="4"/>
  <c r="BQ18" i="4"/>
  <c r="AQ18" i="4"/>
  <c r="L18" i="4"/>
  <c r="M18" i="4"/>
  <c r="BS18" i="4"/>
  <c r="BU18" i="4"/>
  <c r="AY18" i="4"/>
  <c r="G18" i="4"/>
  <c r="K18" i="4"/>
  <c r="BT18" i="4"/>
  <c r="U18" i="4"/>
  <c r="O18" i="4"/>
  <c r="P18" i="4"/>
  <c r="AO18" i="4"/>
  <c r="AA18" i="4"/>
  <c r="AF18" i="4"/>
  <c r="AG18" i="4"/>
  <c r="S18" i="4"/>
  <c r="BP18" i="4"/>
  <c r="AL18" i="4"/>
  <c r="AV18" i="4"/>
  <c r="AW18" i="4"/>
  <c r="Q18" i="4"/>
  <c r="AZ18" i="4"/>
  <c r="J18" i="4"/>
  <c r="AT18" i="4"/>
  <c r="AD18" i="4"/>
  <c r="Z18" i="4"/>
  <c r="AI18" i="4"/>
  <c r="AC18" i="4"/>
  <c r="AM18" i="4"/>
  <c r="AO16" i="23"/>
  <c r="AO15" i="23"/>
  <c r="AO14" i="23"/>
  <c r="AO13" i="23"/>
  <c r="AO12" i="23"/>
  <c r="AO11" i="23"/>
  <c r="AN16" i="23"/>
  <c r="AN15" i="23"/>
  <c r="AN14" i="23"/>
  <c r="AN13" i="23"/>
  <c r="AN12" i="23"/>
  <c r="AN11" i="23"/>
  <c r="AG16" i="23"/>
  <c r="AG15" i="23"/>
  <c r="AG14" i="23"/>
  <c r="AG13" i="23"/>
  <c r="AG12" i="23"/>
  <c r="AG11" i="23"/>
  <c r="AF16" i="23"/>
  <c r="AF15" i="23"/>
  <c r="AF14" i="23"/>
  <c r="AF11" i="23"/>
  <c r="AF12" i="23"/>
  <c r="AF13" i="23"/>
  <c r="AH12" i="23"/>
  <c r="AH13" i="23"/>
  <c r="AH14" i="23"/>
  <c r="AH15" i="23"/>
  <c r="AH16" i="23"/>
  <c r="AZ16" i="23" l="1"/>
  <c r="AZ15" i="23"/>
  <c r="AZ14" i="23"/>
  <c r="AZ13" i="23"/>
  <c r="AZ12" i="23"/>
  <c r="AZ11" i="23"/>
  <c r="AY16" i="23" l="1"/>
  <c r="AY15" i="23"/>
  <c r="AY14" i="23"/>
  <c r="AY13" i="23"/>
  <c r="AY12" i="23"/>
  <c r="AY11" i="23"/>
  <c r="AH11" i="23"/>
  <c r="AB16" i="23"/>
  <c r="AB15" i="23"/>
  <c r="AB14" i="23"/>
  <c r="AB13" i="23"/>
  <c r="AB12" i="23"/>
  <c r="AC16" i="23"/>
  <c r="AC15" i="23"/>
  <c r="AC14" i="23"/>
  <c r="AC13" i="23"/>
  <c r="AC12" i="23"/>
  <c r="AC11" i="23"/>
  <c r="AB11" i="23"/>
  <c r="AE16" i="23"/>
  <c r="AD16" i="23"/>
  <c r="AE15" i="23"/>
  <c r="AD15" i="23"/>
  <c r="AE14" i="23"/>
  <c r="AD14" i="23"/>
  <c r="AE13" i="23"/>
  <c r="AD13" i="23"/>
  <c r="AE12" i="23"/>
  <c r="AD12" i="23"/>
  <c r="AE11" i="23"/>
  <c r="AD11" i="23"/>
  <c r="AW16" i="23" l="1"/>
  <c r="AX16" i="23" s="1"/>
  <c r="AA16" i="23"/>
  <c r="AR16" i="23" s="1"/>
  <c r="H16" i="23"/>
  <c r="AW15" i="23"/>
  <c r="AX15" i="23" s="1"/>
  <c r="AA15" i="23"/>
  <c r="AR15" i="23" s="1"/>
  <c r="H15" i="23"/>
  <c r="AW14" i="23"/>
  <c r="AX14" i="23" s="1"/>
  <c r="AA14" i="23"/>
  <c r="AR14" i="23" s="1"/>
  <c r="H14" i="23"/>
  <c r="AW13" i="23"/>
  <c r="AX13" i="23" s="1"/>
  <c r="AA13" i="23"/>
  <c r="AR13" i="23" s="1"/>
  <c r="H13" i="23"/>
  <c r="AW12" i="23"/>
  <c r="AX12" i="23" s="1"/>
  <c r="AA12" i="23"/>
  <c r="AR12" i="23" s="1"/>
  <c r="H12" i="23"/>
  <c r="AW11" i="23"/>
  <c r="AX11" i="23" s="1"/>
  <c r="AA11" i="23"/>
  <c r="AR11" i="23" s="1"/>
  <c r="H11" i="23"/>
  <c r="X11" i="23" s="1"/>
  <c r="AX18" i="23" l="1"/>
  <c r="F22" i="3" s="1"/>
  <c r="AS11" i="23"/>
  <c r="Z12" i="23"/>
  <c r="X12" i="23"/>
  <c r="AS12" i="23" s="1"/>
  <c r="Z13" i="23"/>
  <c r="X13" i="23"/>
  <c r="AS13" i="23" s="1"/>
  <c r="Z14" i="23"/>
  <c r="X14" i="23"/>
  <c r="AS14" i="23" s="1"/>
  <c r="Y15" i="23"/>
  <c r="AJ15" i="23" s="1"/>
  <c r="AT15" i="23" s="1"/>
  <c r="X15" i="23"/>
  <c r="AS15" i="23" s="1"/>
  <c r="Y16" i="23"/>
  <c r="AJ16" i="23" s="1"/>
  <c r="AT16" i="23" s="1"/>
  <c r="X16" i="23"/>
  <c r="AS16" i="23" s="1"/>
  <c r="Z16" i="23"/>
  <c r="Z15" i="23"/>
  <c r="Y14" i="23"/>
  <c r="AJ14" i="23" s="1"/>
  <c r="AT14" i="23" s="1"/>
  <c r="Y13" i="23"/>
  <c r="AJ13" i="23" s="1"/>
  <c r="AT13" i="23" s="1"/>
  <c r="Y12" i="23"/>
  <c r="AJ12" i="23" s="1"/>
  <c r="AT12" i="23" s="1"/>
  <c r="Y11" i="23"/>
  <c r="Z11" i="23"/>
  <c r="AS18" i="23" l="1"/>
  <c r="D22" i="3" s="1"/>
  <c r="AL14" i="23"/>
  <c r="AM14" i="23"/>
  <c r="AP14" i="23"/>
  <c r="AM13" i="23"/>
  <c r="AP13" i="23"/>
  <c r="AL13" i="23"/>
  <c r="AM12" i="23"/>
  <c r="AL12" i="23"/>
  <c r="AP12" i="23"/>
  <c r="AP11" i="23"/>
  <c r="AL11" i="23"/>
  <c r="AM11" i="23"/>
  <c r="AL15" i="23"/>
  <c r="AM15" i="23"/>
  <c r="AP15" i="23"/>
  <c r="AM16" i="23"/>
  <c r="AL16" i="23"/>
  <c r="AP16" i="23"/>
  <c r="AJ11" i="23"/>
  <c r="AT11" i="23" s="1"/>
  <c r="AU11" i="23" l="1"/>
  <c r="AV11" i="23" s="1"/>
  <c r="AU16" i="23"/>
  <c r="AV16" i="23" s="1"/>
  <c r="AU13" i="23"/>
  <c r="AV13" i="23" s="1"/>
  <c r="AU12" i="23"/>
  <c r="AV12" i="23" s="1"/>
  <c r="AU15" i="23"/>
  <c r="AV15" i="23" s="1"/>
  <c r="AU14" i="23"/>
  <c r="AV14" i="23" s="1"/>
  <c r="AV18" i="23" l="1"/>
  <c r="E22" i="3" s="1"/>
  <c r="AE15" i="20" l="1"/>
  <c r="AE14" i="20"/>
  <c r="AE13" i="20"/>
  <c r="AE12" i="20"/>
  <c r="AE11" i="20"/>
  <c r="AE10" i="20"/>
  <c r="AE9" i="20"/>
  <c r="AE8" i="20"/>
  <c r="AE18" i="12" l="1"/>
  <c r="AE17" i="12"/>
  <c r="AE16" i="12"/>
  <c r="AE15" i="12"/>
  <c r="AE14" i="12"/>
  <c r="AE13" i="12"/>
  <c r="AE12" i="12"/>
  <c r="AE11" i="12"/>
  <c r="AS11" i="11"/>
  <c r="BY19" i="10" l="1"/>
  <c r="BY18" i="10"/>
  <c r="BY17" i="10"/>
  <c r="BY16" i="10"/>
  <c r="BY15" i="10"/>
  <c r="BY14" i="10"/>
  <c r="BY13" i="10"/>
  <c r="BY12" i="10"/>
  <c r="AU18" i="4"/>
  <c r="AS18" i="4"/>
  <c r="AL15" i="8" l="1"/>
  <c r="AL16" i="8"/>
  <c r="AL17" i="8"/>
  <c r="AJ15" i="8"/>
  <c r="AJ16" i="8"/>
  <c r="AJ17" i="8"/>
  <c r="AK15" i="8"/>
  <c r="AK16" i="8"/>
  <c r="AK17" i="8"/>
  <c r="E96" i="8"/>
  <c r="E95" i="8"/>
  <c r="E90" i="8"/>
  <c r="E89" i="8"/>
  <c r="E84" i="8"/>
  <c r="E83" i="8"/>
  <c r="E78" i="8"/>
  <c r="E77" i="8"/>
  <c r="E60" i="8"/>
  <c r="E59" i="8"/>
  <c r="E54" i="8"/>
  <c r="E53" i="8"/>
  <c r="E47" i="8"/>
  <c r="E48" i="8"/>
  <c r="E42" i="8"/>
  <c r="E41" i="8"/>
  <c r="T11" i="13" l="1"/>
  <c r="V11" i="13" s="1" a="1"/>
  <c r="V11" i="13" s="1"/>
  <c r="T12" i="13"/>
  <c r="W11" i="13" l="1"/>
  <c r="X11" i="13"/>
  <c r="AF12" i="8"/>
  <c r="AF11" i="8"/>
  <c r="AF18" i="8"/>
  <c r="AF17" i="8"/>
  <c r="AF16" i="8"/>
  <c r="AF15" i="8"/>
  <c r="AF14" i="8"/>
  <c r="AF13" i="8"/>
  <c r="AI15" i="8" l="1" a="1"/>
  <c r="AI15" i="8" s="1"/>
  <c r="AI16" i="8" a="1"/>
  <c r="AI16" i="8" s="1"/>
  <c r="AI17" i="8" a="1"/>
  <c r="AI17" i="8" s="1"/>
  <c r="R9" i="20"/>
  <c r="R10" i="20"/>
  <c r="R11" i="20"/>
  <c r="R12" i="20"/>
  <c r="R13" i="20"/>
  <c r="R14" i="20"/>
  <c r="R15" i="20"/>
  <c r="R8" i="20"/>
  <c r="P8" i="20"/>
  <c r="Q8" i="20"/>
  <c r="AU13" i="10"/>
  <c r="AU14" i="10"/>
  <c r="AU15" i="10"/>
  <c r="AU16" i="10"/>
  <c r="AU17" i="10"/>
  <c r="AU18" i="10"/>
  <c r="AU19" i="10"/>
  <c r="AU12" i="10"/>
  <c r="S8" i="20" l="1" a="1"/>
  <c r="S8" i="20" s="1"/>
  <c r="Z9" i="20"/>
  <c r="Z10" i="20"/>
  <c r="Z11" i="20"/>
  <c r="Z12" i="20"/>
  <c r="Z13" i="20"/>
  <c r="Z14" i="20"/>
  <c r="Z15" i="20"/>
  <c r="Z16" i="20"/>
  <c r="Z17" i="20"/>
  <c r="Z18" i="20"/>
  <c r="Y19" i="20"/>
  <c r="Y20" i="20"/>
  <c r="Y21" i="20"/>
  <c r="Y22" i="20"/>
  <c r="Y23" i="20"/>
  <c r="Y24" i="20"/>
  <c r="Y25" i="20"/>
  <c r="Y26" i="20"/>
  <c r="Y27" i="20"/>
  <c r="Y28" i="20"/>
  <c r="Y29" i="20"/>
  <c r="Y30" i="20"/>
  <c r="Y31" i="20"/>
  <c r="Y32" i="20"/>
  <c r="Y33" i="20"/>
  <c r="Y34" i="20"/>
  <c r="Y35" i="20"/>
  <c r="Y36" i="20"/>
  <c r="Y37" i="20"/>
  <c r="Y38" i="20"/>
  <c r="Y39" i="20"/>
  <c r="Y40" i="20"/>
  <c r="Y41" i="20"/>
  <c r="Y42" i="20"/>
  <c r="Y43" i="20"/>
  <c r="Y44" i="20"/>
  <c r="Y45" i="20"/>
  <c r="Y46" i="20"/>
  <c r="Y47" i="20"/>
  <c r="Y48" i="20"/>
  <c r="Y49" i="20"/>
  <c r="Y50" i="20"/>
  <c r="Y51" i="20"/>
  <c r="Y52" i="20"/>
  <c r="Y53" i="20"/>
  <c r="Y54" i="20"/>
  <c r="Y55" i="20"/>
  <c r="Y56" i="20"/>
  <c r="Y57" i="20"/>
  <c r="Y58" i="20"/>
  <c r="Y59" i="20"/>
  <c r="Y60" i="20"/>
  <c r="Y61" i="20"/>
  <c r="Y62" i="20"/>
  <c r="Y63" i="20"/>
  <c r="Y64" i="20"/>
  <c r="Y65" i="20"/>
  <c r="Y66" i="20"/>
  <c r="Y67" i="20"/>
  <c r="Y68" i="20"/>
  <c r="Y69" i="20"/>
  <c r="Z8" i="20"/>
  <c r="G12" i="13"/>
  <c r="G11" i="13"/>
  <c r="G18" i="11"/>
  <c r="G17" i="11"/>
  <c r="G16" i="11"/>
  <c r="G15" i="11"/>
  <c r="G14" i="11"/>
  <c r="G13" i="11"/>
  <c r="G12" i="11"/>
  <c r="G11" i="11"/>
  <c r="G19" i="10"/>
  <c r="G18" i="10"/>
  <c r="G17" i="10"/>
  <c r="G16" i="10"/>
  <c r="G15" i="10"/>
  <c r="G14" i="10"/>
  <c r="G13" i="10"/>
  <c r="G12" i="8"/>
  <c r="G13" i="8"/>
  <c r="G14" i="8"/>
  <c r="G15" i="8"/>
  <c r="G16" i="8"/>
  <c r="G17" i="8"/>
  <c r="G18" i="8"/>
  <c r="W8" i="20" l="1"/>
  <c r="U8" i="20"/>
  <c r="AE11" i="8"/>
  <c r="AD11" i="8"/>
  <c r="Q13" i="13"/>
  <c r="R13" i="13"/>
  <c r="S13" i="13"/>
  <c r="Q14" i="13"/>
  <c r="R14" i="13"/>
  <c r="S14" i="13"/>
  <c r="Q18" i="13"/>
  <c r="R18" i="13"/>
  <c r="S18" i="13"/>
  <c r="R15" i="13"/>
  <c r="S15" i="13"/>
  <c r="Q15" i="13"/>
  <c r="Q17" i="13"/>
  <c r="R17" i="13"/>
  <c r="S17" i="13"/>
  <c r="S12" i="13"/>
  <c r="Q12" i="13"/>
  <c r="R12" i="13"/>
  <c r="S16" i="13"/>
  <c r="Q16" i="13"/>
  <c r="R16" i="13"/>
  <c r="R11" i="13"/>
  <c r="Q11" i="13"/>
  <c r="S11" i="13"/>
  <c r="CA13" i="10"/>
  <c r="CA14" i="10"/>
  <c r="CA15" i="10"/>
  <c r="CA16" i="10"/>
  <c r="CA17" i="10"/>
  <c r="CA18" i="10"/>
  <c r="CA19" i="10"/>
  <c r="CA12" i="10"/>
  <c r="BB18" i="10"/>
  <c r="BB17" i="10"/>
  <c r="AY16" i="10"/>
  <c r="AY14" i="10"/>
  <c r="AZ13" i="10"/>
  <c r="AC13" i="10"/>
  <c r="AD13" i="10"/>
  <c r="AF13" i="10"/>
  <c r="AJ13" i="10"/>
  <c r="AS13" i="10"/>
  <c r="AT13" i="10" a="1"/>
  <c r="AT13" i="10" s="1"/>
  <c r="AV13" i="10"/>
  <c r="AW13" i="10" a="1"/>
  <c r="AW13" i="10" s="1"/>
  <c r="AX13" i="10"/>
  <c r="BE13" i="10"/>
  <c r="BF13" i="10"/>
  <c r="BG13" i="10"/>
  <c r="BH13" i="10"/>
  <c r="AC14" i="10"/>
  <c r="AD14" i="10"/>
  <c r="AF14" i="10"/>
  <c r="AJ14" i="10"/>
  <c r="AS14" i="10"/>
  <c r="AT14" i="10" a="1"/>
  <c r="AT14" i="10" s="1"/>
  <c r="AV14" i="10"/>
  <c r="AW14" i="10" a="1"/>
  <c r="AW14" i="10" s="1"/>
  <c r="AX14" i="10"/>
  <c r="BE14" i="10"/>
  <c r="BF14" i="10"/>
  <c r="BG14" i="10"/>
  <c r="BH14" i="10"/>
  <c r="BB15" i="10"/>
  <c r="AC15" i="10"/>
  <c r="AD15" i="10"/>
  <c r="AF15" i="10"/>
  <c r="AJ15" i="10"/>
  <c r="AS15" i="10"/>
  <c r="AT15" i="10" a="1"/>
  <c r="AT15" i="10" s="1"/>
  <c r="AV15" i="10"/>
  <c r="AW15" i="10" a="1"/>
  <c r="AW15" i="10" s="1"/>
  <c r="AX15" i="10"/>
  <c r="AY15" i="10"/>
  <c r="AZ15" i="10"/>
  <c r="BE15" i="10"/>
  <c r="BF15" i="10"/>
  <c r="BG15" i="10"/>
  <c r="BH15" i="10"/>
  <c r="AC16" i="10"/>
  <c r="AD16" i="10"/>
  <c r="AF16" i="10"/>
  <c r="AJ16" i="10"/>
  <c r="AS16" i="10"/>
  <c r="AT16" i="10" a="1"/>
  <c r="AT16" i="10" s="1"/>
  <c r="AV16" i="10"/>
  <c r="AW16" i="10" a="1"/>
  <c r="AW16" i="10" s="1"/>
  <c r="AX16" i="10"/>
  <c r="BE16" i="10"/>
  <c r="BF16" i="10"/>
  <c r="BG16" i="10"/>
  <c r="BH16" i="10"/>
  <c r="AC17" i="10"/>
  <c r="AD17" i="10"/>
  <c r="AF17" i="10"/>
  <c r="AJ17" i="10"/>
  <c r="AS17" i="10"/>
  <c r="AT17" i="10" a="1"/>
  <c r="AT17" i="10" s="1"/>
  <c r="AV17" i="10"/>
  <c r="AW17" i="10" a="1"/>
  <c r="AW17" i="10" s="1"/>
  <c r="AX17" i="10"/>
  <c r="BE17" i="10"/>
  <c r="BF17" i="10"/>
  <c r="BG17" i="10"/>
  <c r="BH17" i="10"/>
  <c r="AC18" i="10"/>
  <c r="AD18" i="10"/>
  <c r="AF18" i="10"/>
  <c r="AJ18" i="10"/>
  <c r="AS18" i="10"/>
  <c r="AT18" i="10" a="1"/>
  <c r="AT18" i="10" s="1"/>
  <c r="AV18" i="10"/>
  <c r="AW18" i="10" a="1"/>
  <c r="AW18" i="10" s="1"/>
  <c r="AX18" i="10"/>
  <c r="BE18" i="10"/>
  <c r="BF18" i="10"/>
  <c r="BG18" i="10"/>
  <c r="BH18" i="10"/>
  <c r="BB19" i="10"/>
  <c r="AC19" i="10"/>
  <c r="AD19" i="10"/>
  <c r="AF19" i="10"/>
  <c r="AJ19" i="10"/>
  <c r="AS19" i="10"/>
  <c r="AT19" i="10" a="1"/>
  <c r="AT19" i="10" s="1"/>
  <c r="AV19" i="10"/>
  <c r="AW19" i="10" a="1"/>
  <c r="AW19" i="10" s="1"/>
  <c r="AX19" i="10"/>
  <c r="BE19" i="10"/>
  <c r="BF19" i="10"/>
  <c r="BG19" i="10"/>
  <c r="BH19" i="10"/>
  <c r="CB19" i="10"/>
  <c r="BZ19" i="10" s="1"/>
  <c r="BH12" i="10"/>
  <c r="BG12" i="10"/>
  <c r="BI15" i="10" l="1"/>
  <c r="BQ15" i="10" s="1"/>
  <c r="BI14" i="10"/>
  <c r="BQ14" i="10" s="1"/>
  <c r="BI13" i="10"/>
  <c r="BQ13" i="10" s="1"/>
  <c r="BI19" i="10"/>
  <c r="BQ19" i="10" s="1"/>
  <c r="BI18" i="10"/>
  <c r="BQ18" i="10" s="1"/>
  <c r="BI16" i="10"/>
  <c r="BQ16" i="10" s="1"/>
  <c r="BL13" i="10"/>
  <c r="BK13" i="10" s="1"/>
  <c r="BV13" i="10" s="1"/>
  <c r="AR13" i="10"/>
  <c r="BR13" i="10" s="1"/>
  <c r="BL12" i="10"/>
  <c r="AY18" i="10"/>
  <c r="AY17" i="10"/>
  <c r="BB14" i="10"/>
  <c r="AZ14" i="10"/>
  <c r="BA14" i="10" s="1"/>
  <c r="BW14" i="10" s="1"/>
  <c r="AY13" i="10"/>
  <c r="AZ16" i="10"/>
  <c r="BA16" i="10" s="1"/>
  <c r="BW16" i="10" s="1"/>
  <c r="BB16" i="10"/>
  <c r="BB13" i="10"/>
  <c r="AR17" i="10"/>
  <c r="BP17" i="10" s="1"/>
  <c r="BL17" i="10"/>
  <c r="BK17" i="10" s="1"/>
  <c r="CB13" i="10"/>
  <c r="BZ13" i="10" s="1"/>
  <c r="AR18" i="10"/>
  <c r="BP18" i="10" s="1"/>
  <c r="BL18" i="10"/>
  <c r="BK18" i="10" s="1"/>
  <c r="AZ17" i="10"/>
  <c r="CB16" i="10"/>
  <c r="BZ16" i="10" s="1"/>
  <c r="BA15" i="10"/>
  <c r="BW15" i="10" s="1"/>
  <c r="AY19" i="10"/>
  <c r="AR19" i="10"/>
  <c r="BP19" i="10" s="1"/>
  <c r="BL19" i="10"/>
  <c r="BK19" i="10" s="1"/>
  <c r="AZ18" i="10"/>
  <c r="CB17" i="10"/>
  <c r="BZ17" i="10" s="1"/>
  <c r="AZ19" i="10"/>
  <c r="CB18" i="10"/>
  <c r="BZ18" i="10" s="1"/>
  <c r="BI17" i="10"/>
  <c r="BQ17" i="10" s="1"/>
  <c r="AR16" i="10"/>
  <c r="BR16" i="10" s="1"/>
  <c r="BL16" i="10"/>
  <c r="BK16" i="10" s="1"/>
  <c r="CB15" i="10"/>
  <c r="BZ15" i="10" s="1"/>
  <c r="BL15" i="10"/>
  <c r="BK15" i="10" s="1"/>
  <c r="BV15" i="10" s="1"/>
  <c r="AR15" i="10"/>
  <c r="BP15" i="10" s="1"/>
  <c r="CB14" i="10"/>
  <c r="BZ14" i="10" s="1"/>
  <c r="BL14" i="10"/>
  <c r="BK14" i="10" s="1"/>
  <c r="AR14" i="10"/>
  <c r="BR14" i="10" s="1"/>
  <c r="V33" i="10"/>
  <c r="V34" i="10"/>
  <c r="V35" i="10"/>
  <c r="V36" i="10"/>
  <c r="V37" i="10"/>
  <c r="V32" i="10"/>
  <c r="H39" i="10"/>
  <c r="H38" i="10"/>
  <c r="G39" i="10"/>
  <c r="G38" i="10"/>
  <c r="H37" i="10"/>
  <c r="H36" i="10"/>
  <c r="G37" i="10"/>
  <c r="G36" i="10"/>
  <c r="G32" i="10"/>
  <c r="H32" i="10"/>
  <c r="G33" i="10"/>
  <c r="H33" i="10"/>
  <c r="AX12" i="10"/>
  <c r="BO15" i="10" l="1"/>
  <c r="BT15" i="10" s="1"/>
  <c r="BO19" i="10"/>
  <c r="BT19" i="10" s="1"/>
  <c r="BU15" i="10"/>
  <c r="BX15" i="10" s="1"/>
  <c r="BU16" i="10"/>
  <c r="BS13" i="10"/>
  <c r="BO13" i="10"/>
  <c r="BO16" i="10"/>
  <c r="BS16" i="10"/>
  <c r="BU19" i="10"/>
  <c r="BU13" i="10"/>
  <c r="BR17" i="10"/>
  <c r="BS17" i="10" s="1"/>
  <c r="BS14" i="10"/>
  <c r="BR18" i="10"/>
  <c r="BS18" i="10" s="1"/>
  <c r="BR19" i="10"/>
  <c r="BS19" i="10" s="1"/>
  <c r="BU18" i="10"/>
  <c r="BO14" i="10"/>
  <c r="BR15" i="10"/>
  <c r="BS15" i="10" s="1"/>
  <c r="BU14" i="10"/>
  <c r="BO18" i="10"/>
  <c r="BT18" i="10" s="1"/>
  <c r="BP14" i="10"/>
  <c r="BV14" i="10"/>
  <c r="BP16" i="10"/>
  <c r="BA13" i="10"/>
  <c r="BW13" i="10" s="1"/>
  <c r="BP13" i="10"/>
  <c r="BV16" i="10"/>
  <c r="BA18" i="10"/>
  <c r="BW18" i="10" s="1"/>
  <c r="BV18" i="10"/>
  <c r="BA19" i="10"/>
  <c r="BW19" i="10" s="1"/>
  <c r="BV19" i="10"/>
  <c r="BA17" i="10"/>
  <c r="BW17" i="10" s="1"/>
  <c r="BV17" i="10"/>
  <c r="BO17" i="10"/>
  <c r="BT17" i="10" s="1"/>
  <c r="BU17" i="10"/>
  <c r="BX16" i="10" l="1"/>
  <c r="BT13" i="10"/>
  <c r="BX17" i="10"/>
  <c r="BX14" i="10"/>
  <c r="BT14" i="10"/>
  <c r="BX18" i="10"/>
  <c r="BX13" i="10"/>
  <c r="BX19" i="10"/>
  <c r="BT16" i="10"/>
  <c r="CE18" i="10" a="1"/>
  <c r="CE18" i="10" s="1"/>
  <c r="CD17" i="10" a="1"/>
  <c r="CD17" i="10" s="1"/>
  <c r="CD16" i="10" a="1"/>
  <c r="CD16" i="10" s="1"/>
  <c r="CE14" i="10" a="1"/>
  <c r="CE14" i="10" s="1"/>
  <c r="CD13" i="10" a="1"/>
  <c r="CD13" i="10" s="1"/>
  <c r="AR18" i="8"/>
  <c r="V18" i="8"/>
  <c r="AE18" i="8"/>
  <c r="AR17" i="8"/>
  <c r="V17" i="8"/>
  <c r="AE17" i="8"/>
  <c r="AR16" i="8"/>
  <c r="V16" i="8"/>
  <c r="AE16" i="8"/>
  <c r="AR15" i="8"/>
  <c r="V15" i="8"/>
  <c r="AE15" i="8"/>
  <c r="AR14" i="8"/>
  <c r="V14" i="8"/>
  <c r="AE14" i="8"/>
  <c r="AR13" i="8"/>
  <c r="V13" i="8"/>
  <c r="AE13" i="8"/>
  <c r="AR12" i="8"/>
  <c r="V12" i="8"/>
  <c r="AE12" i="8"/>
  <c r="AG18" i="8" l="1" a="1"/>
  <c r="AG18" i="8" s="1"/>
  <c r="AY18" i="8" s="1"/>
  <c r="AH18" i="8" a="1"/>
  <c r="AH18" i="8" s="1"/>
  <c r="AZ18" i="8" s="1"/>
  <c r="AJ13" i="8"/>
  <c r="W13" i="8" s="1" a="1"/>
  <c r="W13" i="8" s="1"/>
  <c r="AH13" i="8" a="1"/>
  <c r="AH13" i="8" s="1"/>
  <c r="AZ13" i="8" s="1"/>
  <c r="AG13" i="8" a="1"/>
  <c r="AG13" i="8" s="1"/>
  <c r="AY13" i="8" s="1"/>
  <c r="AG14" i="8" a="1"/>
  <c r="AG14" i="8" s="1"/>
  <c r="AY14" i="8" s="1"/>
  <c r="AH14" i="8" a="1"/>
  <c r="AH14" i="8" s="1"/>
  <c r="AZ14" i="8" s="1"/>
  <c r="AH12" i="8" a="1"/>
  <c r="AH12" i="8" s="1"/>
  <c r="AZ12" i="8" s="1"/>
  <c r="AG12" i="8" a="1"/>
  <c r="AG12" i="8" s="1"/>
  <c r="AY12" i="8" s="1"/>
  <c r="AK18" i="8"/>
  <c r="AJ18" i="8"/>
  <c r="AL18" i="8"/>
  <c r="AA18" i="8" s="1"/>
  <c r="AI18" i="8" a="1"/>
  <c r="AI18" i="8" s="1"/>
  <c r="AJ12" i="8"/>
  <c r="AL12" i="8"/>
  <c r="Z12" i="8" s="1"/>
  <c r="AK12" i="8"/>
  <c r="AL14" i="8"/>
  <c r="Z14" i="8" s="1"/>
  <c r="AJ14" i="8"/>
  <c r="W14" i="8" s="1" a="1"/>
  <c r="W14" i="8" s="1"/>
  <c r="AK14" i="8"/>
  <c r="AI12" i="8" a="1"/>
  <c r="AI12" i="8" s="1"/>
  <c r="AI14" i="8" a="1"/>
  <c r="AI14" i="8" s="1"/>
  <c r="AI13" i="8" a="1"/>
  <c r="AI13" i="8" s="1"/>
  <c r="AA16" i="8"/>
  <c r="AV16" i="8" a="1"/>
  <c r="AV16" i="8" s="1"/>
  <c r="AU16" i="8" a="1"/>
  <c r="AU16" i="8" s="1"/>
  <c r="AT16" i="8" a="1"/>
  <c r="AT16" i="8" s="1"/>
  <c r="AV14" i="8" a="1"/>
  <c r="AV14" i="8" s="1"/>
  <c r="AU14" i="8" a="1"/>
  <c r="AU14" i="8" s="1"/>
  <c r="AT14" i="8" a="1"/>
  <c r="AT14" i="8" s="1"/>
  <c r="AA17" i="8"/>
  <c r="AV17" i="8" a="1"/>
  <c r="AV17" i="8" s="1"/>
  <c r="AU17" i="8" a="1"/>
  <c r="AU17" i="8" s="1"/>
  <c r="AT17" i="8" a="1"/>
  <c r="AT17" i="8" s="1"/>
  <c r="AU12" i="8" a="1"/>
  <c r="AU12" i="8" s="1"/>
  <c r="AT12" i="8" a="1"/>
  <c r="AT12" i="8" s="1"/>
  <c r="AV12" i="8" a="1"/>
  <c r="AV12" i="8" s="1"/>
  <c r="AA15" i="8"/>
  <c r="AU15" i="8" a="1"/>
  <c r="AU15" i="8" s="1"/>
  <c r="AT15" i="8" a="1"/>
  <c r="AT15" i="8" s="1"/>
  <c r="AV15" i="8" a="1"/>
  <c r="AV15" i="8" s="1"/>
  <c r="AV18" i="8" a="1"/>
  <c r="AV18" i="8" s="1"/>
  <c r="AU18" i="8" a="1"/>
  <c r="AU18" i="8" s="1"/>
  <c r="AT18" i="8" a="1"/>
  <c r="AT18" i="8" s="1"/>
  <c r="AV13" i="8" a="1"/>
  <c r="AV13" i="8" s="1"/>
  <c r="AU13" i="8" a="1"/>
  <c r="AU13" i="8" s="1"/>
  <c r="AT13" i="8" a="1"/>
  <c r="AT13" i="8" s="1"/>
  <c r="AS16" i="8"/>
  <c r="AS15" i="8"/>
  <c r="CE17" i="10" a="1"/>
  <c r="CE17" i="10" s="1"/>
  <c r="CE13" i="10" a="1"/>
  <c r="CE13" i="10" s="1"/>
  <c r="CC17" i="10" a="1"/>
  <c r="CC17" i="10" s="1"/>
  <c r="CC13" i="10" a="1"/>
  <c r="CC13" i="10" s="1"/>
  <c r="CD19" i="10" a="1"/>
  <c r="CD19" i="10" s="1"/>
  <c r="CD14" i="10" a="1"/>
  <c r="CD14" i="10" s="1"/>
  <c r="CC16" i="10" a="1"/>
  <c r="CC16" i="10" s="1"/>
  <c r="CE16" i="10" a="1"/>
  <c r="CE16" i="10" s="1"/>
  <c r="CD18" i="10" a="1"/>
  <c r="CD18" i="10" s="1"/>
  <c r="CC15" i="10" a="1"/>
  <c r="CC15" i="10" s="1"/>
  <c r="CE15" i="10" a="1"/>
  <c r="CE15" i="10" s="1"/>
  <c r="CC19" i="10" a="1"/>
  <c r="CC19" i="10" s="1"/>
  <c r="CE19" i="10" a="1"/>
  <c r="CE19" i="10" s="1"/>
  <c r="CD15" i="10" a="1"/>
  <c r="CD15" i="10" s="1"/>
  <c r="CC14" i="10" a="1"/>
  <c r="CC14" i="10" s="1"/>
  <c r="CC18" i="10" a="1"/>
  <c r="CC18" i="10" s="1"/>
  <c r="AD14" i="8"/>
  <c r="AD15" i="8"/>
  <c r="AD16" i="8"/>
  <c r="AD17" i="8"/>
  <c r="AD18" i="8"/>
  <c r="AD12" i="8"/>
  <c r="AD13" i="8"/>
  <c r="M17" i="20"/>
  <c r="C21" i="3" s="1"/>
  <c r="AA15" i="20"/>
  <c r="Q15" i="20"/>
  <c r="P15" i="20"/>
  <c r="AA14" i="20"/>
  <c r="Q14" i="20"/>
  <c r="P14" i="20"/>
  <c r="AA13" i="20"/>
  <c r="Q13" i="20"/>
  <c r="P13" i="20"/>
  <c r="AA12" i="20"/>
  <c r="Q12" i="20"/>
  <c r="P12" i="20"/>
  <c r="S12" i="20" s="1" a="1"/>
  <c r="S12" i="20" s="1"/>
  <c r="AA11" i="20"/>
  <c r="Q11" i="20"/>
  <c r="P11" i="20"/>
  <c r="S11" i="20" s="1" a="1"/>
  <c r="S11" i="20" s="1"/>
  <c r="AA10" i="20"/>
  <c r="Q10" i="20"/>
  <c r="P10" i="20"/>
  <c r="AA9" i="20"/>
  <c r="Q9" i="20"/>
  <c r="P9" i="20"/>
  <c r="AA8" i="20"/>
  <c r="W12" i="8" l="1" a="1"/>
  <c r="W12" i="8" s="1"/>
  <c r="AQ15" i="8"/>
  <c r="AP15" i="8" a="1"/>
  <c r="AP15" i="8" s="1"/>
  <c r="AQ16" i="8"/>
  <c r="AP16" i="8" a="1"/>
  <c r="AP16" i="8" s="1"/>
  <c r="AO13" i="8"/>
  <c r="AM13" i="8"/>
  <c r="AN13" i="8"/>
  <c r="AN18" i="8"/>
  <c r="AO18" i="8"/>
  <c r="AM18" i="8"/>
  <c r="AN14" i="8"/>
  <c r="AM14" i="8"/>
  <c r="AO14" i="8"/>
  <c r="AN17" i="8"/>
  <c r="AM17" i="8"/>
  <c r="AO17" i="8"/>
  <c r="AO16" i="8"/>
  <c r="AN16" i="8"/>
  <c r="AM16" i="8"/>
  <c r="AM15" i="8"/>
  <c r="AN15" i="8"/>
  <c r="AO15" i="8"/>
  <c r="AO12" i="8"/>
  <c r="AN12" i="8"/>
  <c r="AM12" i="8"/>
  <c r="V10" i="20"/>
  <c r="V15" i="20"/>
  <c r="V11" i="20"/>
  <c r="V13" i="20"/>
  <c r="V9" i="20"/>
  <c r="V14" i="20"/>
  <c r="T12" i="20" a="1"/>
  <c r="T12" i="20" s="1"/>
  <c r="Y12" i="20" s="1"/>
  <c r="AS17" i="8"/>
  <c r="AS18" i="8"/>
  <c r="AP18" i="8" s="1" a="1"/>
  <c r="AP18" i="8" s="1"/>
  <c r="V12" i="20"/>
  <c r="T14" i="20" a="1"/>
  <c r="T14" i="20" s="1"/>
  <c r="S14" i="20" a="1"/>
  <c r="S14" i="20" s="1"/>
  <c r="T10" i="20" a="1"/>
  <c r="T10" i="20" s="1"/>
  <c r="S10" i="20" a="1"/>
  <c r="S10" i="20" s="1"/>
  <c r="T15" i="20" a="1"/>
  <c r="T15" i="20" s="1"/>
  <c r="S15" i="20" a="1"/>
  <c r="S15" i="20" s="1"/>
  <c r="T13" i="20" a="1"/>
  <c r="T13" i="20" s="1"/>
  <c r="S13" i="20" a="1"/>
  <c r="S13" i="20" s="1"/>
  <c r="T9" i="20" a="1"/>
  <c r="T9" i="20" s="1"/>
  <c r="S9" i="20" a="1"/>
  <c r="S9" i="20" s="1"/>
  <c r="T11" i="20" a="1"/>
  <c r="T11" i="20" s="1"/>
  <c r="Y11" i="20" s="1"/>
  <c r="T8" i="20" a="1"/>
  <c r="T8" i="20" s="1"/>
  <c r="AQ17" i="8" l="1"/>
  <c r="AP17" i="8" a="1"/>
  <c r="AP17" i="8" s="1"/>
  <c r="AQ18" i="8"/>
  <c r="Y9" i="20"/>
  <c r="AC9" i="20" s="1"/>
  <c r="Y13" i="20"/>
  <c r="AC13" i="20" s="1"/>
  <c r="X12" i="20"/>
  <c r="AD12" i="20" s="1"/>
  <c r="AF12" i="20" s="1"/>
  <c r="Y14" i="20"/>
  <c r="X9" i="20"/>
  <c r="AD9" i="20" s="1"/>
  <c r="AF9" i="20" s="1"/>
  <c r="X11" i="20"/>
  <c r="AD11" i="20" s="1"/>
  <c r="AF11" i="20" s="1"/>
  <c r="X13" i="20"/>
  <c r="AD13" i="20" s="1"/>
  <c r="AF13" i="20" s="1"/>
  <c r="Y15" i="20"/>
  <c r="Y10" i="20"/>
  <c r="AC10" i="20" s="1"/>
  <c r="X14" i="20"/>
  <c r="AD14" i="20" s="1"/>
  <c r="AF14" i="20" s="1"/>
  <c r="X10" i="20"/>
  <c r="AD10" i="20" s="1"/>
  <c r="AF10" i="20" s="1"/>
  <c r="AB8" i="20"/>
  <c r="X15" i="20"/>
  <c r="AD15" i="20" s="1"/>
  <c r="AF15" i="20" s="1"/>
  <c r="AC11" i="20"/>
  <c r="AC12" i="20"/>
  <c r="AT12" i="10" a="1"/>
  <c r="AT12" i="10" s="1"/>
  <c r="AC15" i="20" l="1"/>
  <c r="AC14" i="20"/>
  <c r="AS12" i="10"/>
  <c r="AR12" i="10"/>
  <c r="BE12" i="10"/>
  <c r="AV12" i="10"/>
  <c r="AW12" i="10" a="1"/>
  <c r="AW12" i="10" s="1"/>
  <c r="AR11" i="8"/>
  <c r="Y11" i="11"/>
  <c r="AW11" i="11" s="1"/>
  <c r="AK11" i="11"/>
  <c r="Q35" i="11"/>
  <c r="Q36" i="11"/>
  <c r="Q37" i="11"/>
  <c r="Q38" i="11"/>
  <c r="Q39" i="11"/>
  <c r="Q40" i="11"/>
  <c r="Q41" i="11"/>
  <c r="Q34" i="11"/>
  <c r="L35" i="11"/>
  <c r="L36" i="11"/>
  <c r="L37" i="11"/>
  <c r="L38" i="11"/>
  <c r="L39" i="11"/>
  <c r="L40" i="11"/>
  <c r="L41" i="11"/>
  <c r="L34" i="11"/>
  <c r="K35" i="11"/>
  <c r="K36" i="11"/>
  <c r="K37" i="11"/>
  <c r="K38" i="11"/>
  <c r="K39" i="11"/>
  <c r="K40" i="11"/>
  <c r="K41" i="11"/>
  <c r="K34" i="11"/>
  <c r="AG11" i="8" l="1" a="1"/>
  <c r="AG11" i="8" s="1"/>
  <c r="AH11" i="8" a="1"/>
  <c r="AH11" i="8" s="1"/>
  <c r="AJ18" i="13"/>
  <c r="AK18" i="13" s="1"/>
  <c r="AX18" i="13" s="1"/>
  <c r="AR18" i="13" s="1"/>
  <c r="AJ11" i="8"/>
  <c r="BR12" i="10"/>
  <c r="AI11" i="8" a="1"/>
  <c r="AI11" i="8" s="1"/>
  <c r="AV11" i="8" a="1"/>
  <c r="AV11" i="8" s="1"/>
  <c r="AU11" i="8" a="1"/>
  <c r="AU11" i="8" s="1"/>
  <c r="AT11" i="8" a="1"/>
  <c r="AT11" i="8" s="1"/>
  <c r="AJ14" i="13"/>
  <c r="AK14" i="13" s="1"/>
  <c r="AX14" i="13" s="1"/>
  <c r="AJ17" i="13"/>
  <c r="AK17" i="13" s="1"/>
  <c r="AX17" i="13" s="1"/>
  <c r="H30" i="10"/>
  <c r="H31" i="10"/>
  <c r="H34" i="10"/>
  <c r="H35" i="10"/>
  <c r="H40" i="10"/>
  <c r="H41" i="10"/>
  <c r="G31" i="10"/>
  <c r="G34" i="10"/>
  <c r="G35" i="10"/>
  <c r="G40" i="10"/>
  <c r="G41" i="10"/>
  <c r="G30" i="10"/>
  <c r="AJ16" i="13" l="1"/>
  <c r="AK16" i="13" s="1"/>
  <c r="AX16" i="13" s="1"/>
  <c r="AR16" i="13" s="1"/>
  <c r="AT18" i="13"/>
  <c r="AY11" i="8"/>
  <c r="AJ13" i="13"/>
  <c r="AK13" i="13" s="1"/>
  <c r="AX13" i="13" s="1"/>
  <c r="AT13" i="13" s="1"/>
  <c r="AR14" i="13"/>
  <c r="AT14" i="13"/>
  <c r="AJ15" i="13"/>
  <c r="AK15" i="13" s="1"/>
  <c r="AX15" i="13" s="1"/>
  <c r="AR17" i="13"/>
  <c r="AT17" i="13"/>
  <c r="AJ12" i="13"/>
  <c r="AK12" i="13" s="1"/>
  <c r="AX12" i="13" s="1"/>
  <c r="BM13" i="10"/>
  <c r="AE13" i="10" s="1"/>
  <c r="BM15" i="10"/>
  <c r="AE15" i="10" s="1"/>
  <c r="BM17" i="10"/>
  <c r="AE17" i="10" s="1"/>
  <c r="BM12" i="10"/>
  <c r="AE12" i="10" s="1"/>
  <c r="BM19" i="10"/>
  <c r="AE19" i="10" s="1"/>
  <c r="BM16" i="10"/>
  <c r="AE16" i="10" s="1"/>
  <c r="BM14" i="10"/>
  <c r="AE14" i="10" s="1"/>
  <c r="BM18" i="10"/>
  <c r="AE18" i="10" s="1"/>
  <c r="BN14" i="10"/>
  <c r="AI14" i="10" s="1"/>
  <c r="BN18" i="10"/>
  <c r="AI18" i="10" s="1"/>
  <c r="BN19" i="10"/>
  <c r="AI19" i="10" s="1"/>
  <c r="BN13" i="10"/>
  <c r="AI13" i="10" s="1"/>
  <c r="BN15" i="10"/>
  <c r="AI15" i="10" s="1"/>
  <c r="BN17" i="10"/>
  <c r="AI17" i="10" s="1"/>
  <c r="BN16" i="10"/>
  <c r="AI16" i="10" s="1"/>
  <c r="BN12" i="10"/>
  <c r="AM11" i="8"/>
  <c r="AK11" i="8"/>
  <c r="AJ18" i="12"/>
  <c r="AI18" i="12"/>
  <c r="AH18" i="12"/>
  <c r="AJ17" i="12"/>
  <c r="AI17" i="12"/>
  <c r="AH17" i="12"/>
  <c r="AJ16" i="12"/>
  <c r="AI16" i="12"/>
  <c r="AH16" i="12"/>
  <c r="AJ15" i="12"/>
  <c r="AI15" i="12"/>
  <c r="AH15" i="12"/>
  <c r="AJ14" i="12"/>
  <c r="AI14" i="12"/>
  <c r="AH14" i="12"/>
  <c r="AJ13" i="12"/>
  <c r="AI13" i="12"/>
  <c r="AH13" i="12"/>
  <c r="AJ12" i="12"/>
  <c r="AI12" i="12"/>
  <c r="AH12" i="12"/>
  <c r="AJ11" i="12"/>
  <c r="AI11" i="12"/>
  <c r="AH11" i="12"/>
  <c r="U18" i="12"/>
  <c r="V18" i="12" s="1"/>
  <c r="U13" i="12"/>
  <c r="V13" i="12" s="1"/>
  <c r="AL13" i="8" l="1"/>
  <c r="Z13" i="8" s="1"/>
  <c r="AL11" i="8"/>
  <c r="Z11" i="8" s="1"/>
  <c r="AK13" i="8"/>
  <c r="W11" i="8" a="1"/>
  <c r="W11" i="8" s="1"/>
  <c r="AT16" i="13"/>
  <c r="AR13" i="13"/>
  <c r="AN11" i="8"/>
  <c r="U17" i="12"/>
  <c r="V17" i="12" s="1"/>
  <c r="AC18" i="12"/>
  <c r="AB18" i="12"/>
  <c r="AD18" i="12"/>
  <c r="AD13" i="12"/>
  <c r="AB13" i="12"/>
  <c r="AC13" i="12"/>
  <c r="AR15" i="13"/>
  <c r="AT15" i="13"/>
  <c r="AR12" i="13"/>
  <c r="AT12" i="13"/>
  <c r="AZ11" i="8"/>
  <c r="AO11" i="8"/>
  <c r="AD11" i="12"/>
  <c r="AB11" i="12"/>
  <c r="AC11" i="12"/>
  <c r="AA14" i="8"/>
  <c r="AS14" i="8"/>
  <c r="AP14" i="8" s="1" a="1"/>
  <c r="AP14" i="8" s="1"/>
  <c r="AA12" i="8"/>
  <c r="AA13" i="8"/>
  <c r="U15" i="12"/>
  <c r="V15" i="12" s="1"/>
  <c r="U12" i="12"/>
  <c r="V12" i="12" s="1"/>
  <c r="U14" i="12"/>
  <c r="V14" i="12" s="1"/>
  <c r="U16" i="12"/>
  <c r="V16" i="12" s="1"/>
  <c r="I24" i="12"/>
  <c r="I25" i="12"/>
  <c r="H25" i="12"/>
  <c r="H24" i="12"/>
  <c r="X12" i="12" l="1"/>
  <c r="X13" i="12"/>
  <c r="X14" i="12"/>
  <c r="X15" i="12"/>
  <c r="X16" i="12"/>
  <c r="X18" i="12"/>
  <c r="X17" i="12"/>
  <c r="X11" i="12"/>
  <c r="W12" i="12"/>
  <c r="W17" i="12"/>
  <c r="W13" i="12"/>
  <c r="W14" i="12"/>
  <c r="W16" i="12"/>
  <c r="W15" i="12"/>
  <c r="W18" i="12"/>
  <c r="W11" i="12"/>
  <c r="AD15" i="12"/>
  <c r="AC15" i="12"/>
  <c r="AB15" i="12"/>
  <c r="AC12" i="12"/>
  <c r="AB12" i="12"/>
  <c r="AD12" i="12"/>
  <c r="AB16" i="12"/>
  <c r="AC16" i="12"/>
  <c r="AD16" i="12"/>
  <c r="AB14" i="12"/>
  <c r="AD14" i="12"/>
  <c r="AC14" i="12"/>
  <c r="AB17" i="12"/>
  <c r="AD17" i="12"/>
  <c r="AC17" i="12"/>
  <c r="AQ14" i="8"/>
  <c r="AS13" i="8"/>
  <c r="AP13" i="8" s="1" a="1"/>
  <c r="AP13" i="8" s="1"/>
  <c r="AS12" i="8"/>
  <c r="AP12" i="8" s="1" a="1"/>
  <c r="AP12" i="8" s="1"/>
  <c r="Y17" i="12"/>
  <c r="Z17" i="12" s="1"/>
  <c r="Y16" i="12"/>
  <c r="Z16" i="12" s="1"/>
  <c r="Y13" i="12"/>
  <c r="Z13" i="12" s="1"/>
  <c r="Y14" i="12"/>
  <c r="Z14" i="12" s="1"/>
  <c r="Y12" i="12"/>
  <c r="Z12" i="12" s="1"/>
  <c r="Y15" i="12"/>
  <c r="Z15" i="12" s="1"/>
  <c r="BE18" i="13"/>
  <c r="BD18" i="13"/>
  <c r="BC18" i="13"/>
  <c r="BE17" i="13"/>
  <c r="BD17" i="13"/>
  <c r="BC17" i="13"/>
  <c r="BE16" i="13"/>
  <c r="BD16" i="13"/>
  <c r="BC16" i="13"/>
  <c r="BE15" i="13"/>
  <c r="BD15" i="13"/>
  <c r="BC15" i="13"/>
  <c r="BE14" i="13"/>
  <c r="BD14" i="13"/>
  <c r="BC14" i="13"/>
  <c r="BE13" i="13"/>
  <c r="BD13" i="13"/>
  <c r="BC13" i="13"/>
  <c r="BE12" i="13"/>
  <c r="BD12" i="13"/>
  <c r="BC12" i="13"/>
  <c r="BE11" i="13"/>
  <c r="BD11" i="13"/>
  <c r="BC11" i="13"/>
  <c r="K25" i="13"/>
  <c r="AB11" i="13" s="1"/>
  <c r="L25" i="13"/>
  <c r="AL11" i="13" s="1"/>
  <c r="K26" i="13"/>
  <c r="L26" i="13"/>
  <c r="J26" i="13"/>
  <c r="J25" i="13"/>
  <c r="AA11" i="13" s="1"/>
  <c r="Y11" i="12" l="1"/>
  <c r="Z11" i="12" s="1"/>
  <c r="AQ13" i="8"/>
  <c r="AQ12" i="8"/>
  <c r="Y18" i="12"/>
  <c r="Z18" i="12" s="1"/>
  <c r="AN16" i="13"/>
  <c r="AO16" i="13" s="1"/>
  <c r="AN17" i="13"/>
  <c r="AO17" i="13" s="1"/>
  <c r="AN15" i="13"/>
  <c r="AO15" i="13" s="1"/>
  <c r="AN12" i="13" l="1"/>
  <c r="AO12" i="13" s="1"/>
  <c r="AN14" i="13"/>
  <c r="AO14" i="13" s="1"/>
  <c r="AN18" i="13"/>
  <c r="AO18" i="13" s="1"/>
  <c r="AN13" i="13"/>
  <c r="AO13" i="13" s="1"/>
  <c r="AA11" i="14"/>
  <c r="AA12" i="14"/>
  <c r="AA13" i="14"/>
  <c r="AA14" i="14"/>
  <c r="AA15" i="14"/>
  <c r="AA16" i="14"/>
  <c r="AA17" i="14"/>
  <c r="AH11" i="14"/>
  <c r="AH12" i="14"/>
  <c r="AH13" i="14"/>
  <c r="AH14" i="14"/>
  <c r="AH15" i="14"/>
  <c r="AH16" i="14"/>
  <c r="AH17" i="14"/>
  <c r="P26" i="14"/>
  <c r="P27" i="14"/>
  <c r="P28" i="14"/>
  <c r="P30" i="14"/>
  <c r="P31" i="14"/>
  <c r="P32" i="14"/>
  <c r="P33" i="14"/>
  <c r="P25" i="14"/>
  <c r="V11" i="14"/>
  <c r="V12" i="14"/>
  <c r="V13" i="14"/>
  <c r="V14" i="14"/>
  <c r="V15" i="14"/>
  <c r="V16" i="14"/>
  <c r="V17" i="14"/>
  <c r="S11" i="14"/>
  <c r="S12" i="14"/>
  <c r="S13" i="14"/>
  <c r="S14" i="14"/>
  <c r="S15" i="14"/>
  <c r="S16" i="14"/>
  <c r="S17" i="14"/>
  <c r="AG11" i="13" l="1" a="1"/>
  <c r="AG11" i="13" s="1"/>
  <c r="AJ11" i="13"/>
  <c r="AK11" i="13" s="1"/>
  <c r="AX11" i="13" s="1"/>
  <c r="AN11" i="13" l="1"/>
  <c r="AR11" i="13"/>
  <c r="AT11" i="13"/>
  <c r="AR12" i="11"/>
  <c r="AR13" i="11"/>
  <c r="AR14" i="11"/>
  <c r="AR15" i="11"/>
  <c r="AR16" i="11"/>
  <c r="AR17" i="11"/>
  <c r="AR18" i="11"/>
  <c r="AW12" i="11"/>
  <c r="Y13" i="11"/>
  <c r="Y14" i="11"/>
  <c r="Y15" i="11"/>
  <c r="Y16" i="11"/>
  <c r="Y17" i="11"/>
  <c r="Y18" i="11"/>
  <c r="AW18" i="11" s="1"/>
  <c r="AE11" i="14" l="1"/>
  <c r="AE12" i="14"/>
  <c r="AE13" i="14"/>
  <c r="AE14" i="14"/>
  <c r="AE15" i="14"/>
  <c r="AE16" i="14"/>
  <c r="AE17" i="14"/>
  <c r="T13" i="13"/>
  <c r="T14" i="13"/>
  <c r="T15" i="13"/>
  <c r="T16" i="13"/>
  <c r="T17" i="13"/>
  <c r="T18" i="13"/>
  <c r="AJ11" i="14" a="1"/>
  <c r="AJ11" i="14" s="1"/>
  <c r="AL12" i="14" a="1"/>
  <c r="AL12" i="14" s="1"/>
  <c r="AL15" i="14" a="1"/>
  <c r="AL15" i="14" s="1"/>
  <c r="AK16" i="14" a="1"/>
  <c r="AK16" i="14" s="1"/>
  <c r="AG12" i="11"/>
  <c r="AX12" i="11" s="1"/>
  <c r="AG13" i="11"/>
  <c r="AG14" i="11"/>
  <c r="AG15" i="11"/>
  <c r="AG16" i="11"/>
  <c r="AG17" i="11"/>
  <c r="AG18" i="11"/>
  <c r="AX18" i="11" s="1"/>
  <c r="AC12" i="11"/>
  <c r="AV12" i="11" s="1"/>
  <c r="AC13" i="11"/>
  <c r="AC14" i="11"/>
  <c r="AC15" i="11"/>
  <c r="AC16" i="11"/>
  <c r="AC17" i="11"/>
  <c r="AC18" i="11"/>
  <c r="AV18" i="11" s="1"/>
  <c r="AC11" i="11"/>
  <c r="AV11" i="11" s="1"/>
  <c r="AJ12" i="10"/>
  <c r="AF12" i="10"/>
  <c r="AU12" i="11"/>
  <c r="AU13" i="11"/>
  <c r="AU14" i="11"/>
  <c r="AU15" i="11"/>
  <c r="AU16" i="11"/>
  <c r="AU17" i="11"/>
  <c r="AU18" i="11"/>
  <c r="AU11" i="11"/>
  <c r="AT12" i="11"/>
  <c r="AT13" i="11"/>
  <c r="AT14" i="11"/>
  <c r="AT15" i="11"/>
  <c r="AT16" i="11"/>
  <c r="AT17" i="11"/>
  <c r="AT18" i="11"/>
  <c r="AT11" i="11"/>
  <c r="AS12" i="11"/>
  <c r="B35" i="4" s="1"/>
  <c r="AS13" i="11"/>
  <c r="B36" i="4" s="1"/>
  <c r="X36" i="4" s="1"/>
  <c r="AS14" i="11"/>
  <c r="B37" i="4" s="1"/>
  <c r="AS15" i="11"/>
  <c r="B38" i="4" s="1"/>
  <c r="A38" i="4" s="1"/>
  <c r="AS16" i="11"/>
  <c r="B39" i="4" s="1"/>
  <c r="AS17" i="11"/>
  <c r="B40" i="4" s="1"/>
  <c r="A40" i="4" s="1"/>
  <c r="AS18" i="11"/>
  <c r="B41" i="4" s="1"/>
  <c r="W13" i="11"/>
  <c r="AK13" i="11" s="1"/>
  <c r="X13" i="11"/>
  <c r="X14" i="11"/>
  <c r="X15" i="11"/>
  <c r="X16" i="11"/>
  <c r="X17" i="11"/>
  <c r="AK12" i="11"/>
  <c r="W14" i="11"/>
  <c r="AK14" i="11" s="1"/>
  <c r="W15" i="11"/>
  <c r="AK15" i="11" s="1"/>
  <c r="W16" i="11"/>
  <c r="W17" i="11"/>
  <c r="W18" i="11"/>
  <c r="X18" i="11"/>
  <c r="T14" i="11"/>
  <c r="BF12" i="10"/>
  <c r="BK12" i="10" s="1"/>
  <c r="F46" i="10"/>
  <c r="AD12" i="10"/>
  <c r="AC12" i="10"/>
  <c r="Q18" i="7"/>
  <c r="AG18" i="7" s="1"/>
  <c r="G18" i="7"/>
  <c r="X18" i="7" s="1"/>
  <c r="Q17" i="7"/>
  <c r="AG17" i="7" s="1"/>
  <c r="G17" i="7"/>
  <c r="Q16" i="7"/>
  <c r="G16" i="7"/>
  <c r="Y16" i="7" s="1"/>
  <c r="Q15" i="7"/>
  <c r="AG15" i="7" s="1"/>
  <c r="G15" i="7"/>
  <c r="Q14" i="7"/>
  <c r="AG14" i="7" s="1"/>
  <c r="G14" i="7"/>
  <c r="X14" i="7" s="1"/>
  <c r="Q13" i="7"/>
  <c r="G13" i="7"/>
  <c r="Y13" i="7" s="1"/>
  <c r="Q12" i="7"/>
  <c r="AG12" i="7" s="1"/>
  <c r="U12" i="7" s="1"/>
  <c r="G12" i="7"/>
  <c r="Y12" i="7" s="1"/>
  <c r="Q11" i="7"/>
  <c r="AG11" i="7" s="1"/>
  <c r="R11" i="7" s="1"/>
  <c r="G11" i="7"/>
  <c r="Y11" i="7" s="1"/>
  <c r="AG16" i="7"/>
  <c r="AJ14" i="14" a="1"/>
  <c r="AJ14" i="14" s="1"/>
  <c r="AL14" i="14" a="1"/>
  <c r="AL14" i="14" s="1"/>
  <c r="AK14" i="14" a="1"/>
  <c r="AK14" i="14" s="1"/>
  <c r="AJ17" i="14" a="1"/>
  <c r="AJ17" i="14" s="1"/>
  <c r="AL17" i="14" a="1"/>
  <c r="AL17" i="14" s="1"/>
  <c r="AK17" i="14" a="1"/>
  <c r="AK17" i="14" s="1"/>
  <c r="AJ13" i="14" a="1"/>
  <c r="AJ13" i="14" s="1"/>
  <c r="AL13" i="14" a="1"/>
  <c r="AL13" i="14" s="1"/>
  <c r="AK13" i="14" a="1"/>
  <c r="AK13" i="14" s="1"/>
  <c r="AC14" i="14"/>
  <c r="AD14" i="14" s="1"/>
  <c r="AB14" i="14"/>
  <c r="T14" i="14"/>
  <c r="AC13" i="14"/>
  <c r="AD13" i="14" s="1"/>
  <c r="AB13" i="14"/>
  <c r="T13" i="14"/>
  <c r="AC16" i="14"/>
  <c r="AD16" i="14" s="1"/>
  <c r="AB16" i="14"/>
  <c r="T16" i="14"/>
  <c r="AC12" i="14"/>
  <c r="AD12" i="14" s="1"/>
  <c r="AB12" i="14"/>
  <c r="T12" i="14"/>
  <c r="AC17" i="14"/>
  <c r="AD17" i="14" s="1"/>
  <c r="AB17" i="14"/>
  <c r="W17" i="14"/>
  <c r="AC15" i="14"/>
  <c r="AD15" i="14" s="1"/>
  <c r="AB15" i="14"/>
  <c r="W15" i="14"/>
  <c r="AC11" i="14"/>
  <c r="AD11" i="14" s="1"/>
  <c r="AB11" i="14"/>
  <c r="T11" i="14"/>
  <c r="R10" i="14"/>
  <c r="G11" i="14"/>
  <c r="AF11" i="14" s="1"/>
  <c r="G12" i="14"/>
  <c r="Z12" i="14" s="1"/>
  <c r="G13" i="14"/>
  <c r="AF13" i="14" s="1"/>
  <c r="G14" i="14"/>
  <c r="Z14" i="14" s="1"/>
  <c r="G15" i="14"/>
  <c r="AF15" i="14" s="1"/>
  <c r="G16" i="14"/>
  <c r="AF16" i="14" s="1"/>
  <c r="G17" i="14"/>
  <c r="AF17" i="14" s="1"/>
  <c r="AI11" i="14"/>
  <c r="B3" i="4" s="1"/>
  <c r="AI17" i="14"/>
  <c r="B9" i="4" s="1"/>
  <c r="AI16" i="14"/>
  <c r="B8" i="4" s="1"/>
  <c r="AI13" i="14"/>
  <c r="B5" i="4" s="1"/>
  <c r="AI14" i="14"/>
  <c r="B6" i="4" s="1"/>
  <c r="AI15" i="14"/>
  <c r="B7" i="4" s="1"/>
  <c r="F7" i="4" s="1"/>
  <c r="AI12" i="14"/>
  <c r="B4" i="4" s="1"/>
  <c r="Z10" i="14"/>
  <c r="Y10" i="14"/>
  <c r="R11" i="14"/>
  <c r="R12" i="14"/>
  <c r="R13" i="14"/>
  <c r="R14" i="14"/>
  <c r="R15" i="14"/>
  <c r="R16" i="14"/>
  <c r="R17" i="14"/>
  <c r="T15" i="14"/>
  <c r="AL14" i="11" l="1"/>
  <c r="AK16" i="11"/>
  <c r="AK18" i="11"/>
  <c r="AK17" i="11"/>
  <c r="BD16" i="10"/>
  <c r="BD13" i="10"/>
  <c r="BD14" i="10"/>
  <c r="BD18" i="10"/>
  <c r="BD19" i="10"/>
  <c r="BD15" i="10"/>
  <c r="BD17" i="10"/>
  <c r="BD12" i="10"/>
  <c r="BI12" i="10" s="1"/>
  <c r="BQ12" i="10" s="1"/>
  <c r="BS12" i="10" s="1"/>
  <c r="U18" i="7"/>
  <c r="Z18" i="7"/>
  <c r="AA18" i="7" s="1"/>
  <c r="U14" i="7"/>
  <c r="AB14" i="7"/>
  <c r="AC14" i="7" s="1"/>
  <c r="AD14" i="7" s="1"/>
  <c r="AG13" i="12"/>
  <c r="AF13" i="12" s="1"/>
  <c r="Y18" i="13"/>
  <c r="Z18" i="13" s="1"/>
  <c r="AS18" i="13" s="1"/>
  <c r="AU18" i="13" s="1"/>
  <c r="AG14" i="12"/>
  <c r="AF14" i="12" s="1"/>
  <c r="AB18" i="7"/>
  <c r="AC18" i="7" s="1"/>
  <c r="AD18" i="7" s="1"/>
  <c r="R18" i="7"/>
  <c r="AG18" i="12"/>
  <c r="AF18" i="12" s="1"/>
  <c r="Y15" i="13"/>
  <c r="Z15" i="13" s="1"/>
  <c r="AS15" i="13" s="1"/>
  <c r="AU15" i="13" s="1"/>
  <c r="AC15" i="13"/>
  <c r="AG17" i="12"/>
  <c r="AF17" i="12" s="1"/>
  <c r="AY12" i="10"/>
  <c r="AZ12" i="10"/>
  <c r="BV12" i="10" s="1"/>
  <c r="BB12" i="10"/>
  <c r="B13" i="4"/>
  <c r="AG13" i="4" s="1"/>
  <c r="V11" i="11"/>
  <c r="AN11" i="11" s="1"/>
  <c r="T11" i="11"/>
  <c r="AL11" i="11" s="1"/>
  <c r="U18" i="11"/>
  <c r="AM18" i="11" s="1"/>
  <c r="T18" i="11"/>
  <c r="BC41" i="4" s="1"/>
  <c r="V17" i="11"/>
  <c r="AN17" i="11" s="1"/>
  <c r="BT40" i="4" s="1"/>
  <c r="T17" i="11"/>
  <c r="AL17" i="11" s="1"/>
  <c r="U13" i="11"/>
  <c r="AM13" i="11" s="1"/>
  <c r="T13" i="11"/>
  <c r="U15" i="11"/>
  <c r="AM15" i="11" s="1"/>
  <c r="T15" i="11"/>
  <c r="AL15" i="11" s="1"/>
  <c r="U16" i="11"/>
  <c r="AM16" i="11" s="1"/>
  <c r="T16" i="11"/>
  <c r="BC39" i="4" s="1"/>
  <c r="U12" i="11"/>
  <c r="AM12" i="11" s="1"/>
  <c r="T12" i="11"/>
  <c r="AL12" i="11" s="1"/>
  <c r="W35" i="4"/>
  <c r="BP35" i="4"/>
  <c r="AL35" i="4"/>
  <c r="AC35" i="4"/>
  <c r="D35" i="4"/>
  <c r="R35" i="4"/>
  <c r="S35" i="4"/>
  <c r="Q35" i="4"/>
  <c r="J35" i="4"/>
  <c r="C35" i="4"/>
  <c r="O35" i="4"/>
  <c r="M35" i="4"/>
  <c r="Z35" i="4"/>
  <c r="AY35" i="4"/>
  <c r="BC35" i="4"/>
  <c r="AO35" i="4"/>
  <c r="AF35" i="4"/>
  <c r="P35" i="4"/>
  <c r="AW35" i="4"/>
  <c r="T35" i="4"/>
  <c r="N35" i="4"/>
  <c r="AI35" i="4"/>
  <c r="F35" i="4"/>
  <c r="L35" i="4"/>
  <c r="E35" i="4"/>
  <c r="G35" i="4"/>
  <c r="I35" i="4"/>
  <c r="K35" i="4"/>
  <c r="AS35" i="4"/>
  <c r="W37" i="4"/>
  <c r="Z37" i="4"/>
  <c r="T37" i="4"/>
  <c r="A39" i="4"/>
  <c r="I39" i="4"/>
  <c r="E39" i="4"/>
  <c r="I41" i="4"/>
  <c r="BQ37" i="4"/>
  <c r="AY41" i="4"/>
  <c r="AY39" i="4"/>
  <c r="P39" i="4"/>
  <c r="L39" i="4"/>
  <c r="M37" i="4"/>
  <c r="AF39" i="4"/>
  <c r="F39" i="4"/>
  <c r="D37" i="4"/>
  <c r="BC37" i="4"/>
  <c r="Z41" i="4"/>
  <c r="R39" i="4"/>
  <c r="N39" i="4"/>
  <c r="K37" i="4"/>
  <c r="I37" i="4"/>
  <c r="Y13" i="14"/>
  <c r="V15" i="11"/>
  <c r="AN15" i="11" s="1"/>
  <c r="AH10" i="14"/>
  <c r="AL10" i="14" s="1" a="1"/>
  <c r="AL10" i="14" s="1"/>
  <c r="AL16" i="14" a="1"/>
  <c r="AL16" i="14" s="1"/>
  <c r="AK11" i="14" a="1"/>
  <c r="AK11" i="14" s="1"/>
  <c r="AJ15" i="14" a="1"/>
  <c r="AJ15" i="14" s="1"/>
  <c r="V13" i="11"/>
  <c r="AN13" i="11" s="1"/>
  <c r="BT36" i="4" s="1"/>
  <c r="Y14" i="7"/>
  <c r="Y14" i="14"/>
  <c r="Y18" i="7"/>
  <c r="AE18" i="7" s="1"/>
  <c r="X11" i="7"/>
  <c r="X12" i="7"/>
  <c r="Y12" i="14"/>
  <c r="Y16" i="14"/>
  <c r="W12" i="14"/>
  <c r="AK15" i="14" a="1"/>
  <c r="AK15" i="14" s="1"/>
  <c r="AL11" i="14" a="1"/>
  <c r="AL11" i="14" s="1"/>
  <c r="AJ12" i="14" a="1"/>
  <c r="AJ12" i="14" s="1"/>
  <c r="AK12" i="14" a="1"/>
  <c r="AK12" i="14" s="1"/>
  <c r="AJ16" i="14" a="1"/>
  <c r="AJ16" i="14" s="1"/>
  <c r="W11" i="14"/>
  <c r="W16" i="14"/>
  <c r="W13" i="14"/>
  <c r="AE8" i="4"/>
  <c r="N8" i="4"/>
  <c r="H8" i="4"/>
  <c r="G8" i="4"/>
  <c r="J8" i="4"/>
  <c r="BR8" i="4"/>
  <c r="AK8" i="4"/>
  <c r="O8" i="4"/>
  <c r="P8" i="4"/>
  <c r="Y8" i="4"/>
  <c r="BS8" i="4"/>
  <c r="T4" i="4"/>
  <c r="E4" i="4"/>
  <c r="AG15" i="14"/>
  <c r="AA11" i="8"/>
  <c r="AC10" i="14"/>
  <c r="AE10" i="14" s="1"/>
  <c r="BC7" i="4"/>
  <c r="AR7" i="4"/>
  <c r="AE7" i="4"/>
  <c r="C7" i="4"/>
  <c r="BQ7" i="4"/>
  <c r="BV7" i="4"/>
  <c r="Y7" i="4"/>
  <c r="AB7" i="4"/>
  <c r="X17" i="7"/>
  <c r="Y17" i="7"/>
  <c r="Z16" i="7"/>
  <c r="AA16" i="7" s="1"/>
  <c r="AE16" i="7" s="1"/>
  <c r="AB16" i="7"/>
  <c r="AC16" i="7" s="1"/>
  <c r="U16" i="7"/>
  <c r="H4" i="4"/>
  <c r="C4" i="4"/>
  <c r="AH4" i="4"/>
  <c r="L4" i="4"/>
  <c r="BS4" i="4"/>
  <c r="D4" i="4"/>
  <c r="AR4" i="4"/>
  <c r="X15" i="7"/>
  <c r="Y15" i="7"/>
  <c r="U14" i="11"/>
  <c r="AM14" i="11" s="1"/>
  <c r="V14" i="11"/>
  <c r="AN14" i="11" s="1"/>
  <c r="BT37" i="4" s="1"/>
  <c r="AG11" i="14"/>
  <c r="AB8" i="4"/>
  <c r="AN8" i="4"/>
  <c r="V8" i="4"/>
  <c r="M8" i="4"/>
  <c r="AH18" i="7"/>
  <c r="W14" i="14"/>
  <c r="F8" i="4"/>
  <c r="R8" i="4"/>
  <c r="A8" i="4"/>
  <c r="AI12" i="10"/>
  <c r="AG16" i="14"/>
  <c r="AH5" i="4"/>
  <c r="K5" i="4"/>
  <c r="AN5" i="4"/>
  <c r="AE5" i="4"/>
  <c r="I5" i="4"/>
  <c r="P5" i="4"/>
  <c r="BQ5" i="4"/>
  <c r="BV5" i="4"/>
  <c r="G5" i="4"/>
  <c r="BS5" i="4"/>
  <c r="BC5" i="4"/>
  <c r="AK5" i="4"/>
  <c r="L5" i="4"/>
  <c r="D5" i="4"/>
  <c r="AR5" i="4"/>
  <c r="BP5" i="4"/>
  <c r="C5" i="4"/>
  <c r="BR5" i="4"/>
  <c r="N5" i="4"/>
  <c r="R5" i="4"/>
  <c r="AY5" i="4"/>
  <c r="Q5" i="4"/>
  <c r="T5" i="4"/>
  <c r="M5" i="4"/>
  <c r="F5" i="4"/>
  <c r="V5" i="4"/>
  <c r="E5" i="4"/>
  <c r="A5" i="4"/>
  <c r="H5" i="4"/>
  <c r="BU5" i="4"/>
  <c r="AB5" i="4"/>
  <c r="Y5" i="4"/>
  <c r="O5" i="4"/>
  <c r="J5" i="4"/>
  <c r="P3" i="4"/>
  <c r="F3" i="4"/>
  <c r="AR3" i="4"/>
  <c r="C3" i="4"/>
  <c r="AE3" i="4"/>
  <c r="V3" i="4"/>
  <c r="AY3" i="4"/>
  <c r="H3" i="4"/>
  <c r="BS3" i="4"/>
  <c r="N3" i="4"/>
  <c r="BP3" i="4"/>
  <c r="O3" i="4"/>
  <c r="A3" i="4"/>
  <c r="G3" i="4"/>
  <c r="AN3" i="4"/>
  <c r="AK3" i="4"/>
  <c r="Q3" i="4"/>
  <c r="BC3" i="4"/>
  <c r="BU3" i="4"/>
  <c r="L3" i="4"/>
  <c r="Y3" i="4"/>
  <c r="K3" i="4"/>
  <c r="I3" i="4"/>
  <c r="J3" i="4"/>
  <c r="AH3" i="4"/>
  <c r="D3" i="4"/>
  <c r="R3" i="4"/>
  <c r="AB3" i="4"/>
  <c r="BQ3" i="4"/>
  <c r="BV3" i="4"/>
  <c r="M3" i="4"/>
  <c r="T3" i="4"/>
  <c r="E3" i="4"/>
  <c r="BR3" i="4"/>
  <c r="S11" i="7"/>
  <c r="V11" i="7"/>
  <c r="AG17" i="14"/>
  <c r="AG13" i="14"/>
  <c r="AN6" i="4"/>
  <c r="T6" i="4"/>
  <c r="BP6" i="4"/>
  <c r="K6" i="4"/>
  <c r="H6" i="4"/>
  <c r="AH6" i="4"/>
  <c r="N6" i="4"/>
  <c r="BS6" i="4"/>
  <c r="BV6" i="4"/>
  <c r="AB6" i="4"/>
  <c r="O6" i="4"/>
  <c r="I6" i="4"/>
  <c r="F6" i="4"/>
  <c r="AK6" i="4"/>
  <c r="E6" i="4"/>
  <c r="R6" i="4"/>
  <c r="A6" i="4"/>
  <c r="AY6" i="4"/>
  <c r="BU6" i="4"/>
  <c r="AR6" i="4"/>
  <c r="D6" i="4"/>
  <c r="P6" i="4"/>
  <c r="M6" i="4"/>
  <c r="G6" i="4"/>
  <c r="V6" i="4"/>
  <c r="Q6" i="4"/>
  <c r="BQ6" i="4"/>
  <c r="L6" i="4"/>
  <c r="C6" i="4"/>
  <c r="J6" i="4"/>
  <c r="BR6" i="4"/>
  <c r="AE6" i="4"/>
  <c r="Y6" i="4"/>
  <c r="BC6" i="4"/>
  <c r="AY9" i="4"/>
  <c r="P9" i="4"/>
  <c r="J9" i="4"/>
  <c r="AK9" i="4"/>
  <c r="A9" i="4"/>
  <c r="O9" i="4"/>
  <c r="I9" i="4"/>
  <c r="BQ9" i="4"/>
  <c r="BP9" i="4"/>
  <c r="T9" i="4"/>
  <c r="AE9" i="4"/>
  <c r="F9" i="4"/>
  <c r="Y9" i="4"/>
  <c r="R9" i="4"/>
  <c r="E9" i="4"/>
  <c r="AR9" i="4"/>
  <c r="AH9" i="4"/>
  <c r="H9" i="4"/>
  <c r="BR9" i="4"/>
  <c r="BV9" i="4"/>
  <c r="V9" i="4"/>
  <c r="M9" i="4"/>
  <c r="K9" i="4"/>
  <c r="N9" i="4"/>
  <c r="D9" i="4"/>
  <c r="Q9" i="4"/>
  <c r="AN9" i="4"/>
  <c r="G9" i="4"/>
  <c r="BS9" i="4"/>
  <c r="AB9" i="4"/>
  <c r="C9" i="4"/>
  <c r="L9" i="4"/>
  <c r="BC9" i="4"/>
  <c r="BU9" i="4"/>
  <c r="R15" i="7"/>
  <c r="AB15" i="7"/>
  <c r="AC15" i="7" s="1"/>
  <c r="Z15" i="7"/>
  <c r="AA15" i="7" s="1"/>
  <c r="U15" i="7"/>
  <c r="U17" i="7"/>
  <c r="R17" i="7"/>
  <c r="Z17" i="7"/>
  <c r="AA17" i="7" s="1"/>
  <c r="AB17" i="7"/>
  <c r="AC17" i="7" s="1"/>
  <c r="Y15" i="14"/>
  <c r="BV8" i="4"/>
  <c r="BU4" i="4"/>
  <c r="BQ8" i="4"/>
  <c r="BR7" i="4"/>
  <c r="T7" i="4"/>
  <c r="R7" i="4"/>
  <c r="M7" i="4"/>
  <c r="AY7" i="4"/>
  <c r="I7" i="4"/>
  <c r="BP7" i="4"/>
  <c r="E7" i="4"/>
  <c r="M4" i="4"/>
  <c r="BC4" i="4"/>
  <c r="J4" i="4"/>
  <c r="AN7" i="4"/>
  <c r="AK4" i="4"/>
  <c r="BC8" i="4"/>
  <c r="K8" i="4"/>
  <c r="D8" i="4"/>
  <c r="Q8" i="4"/>
  <c r="T8" i="4"/>
  <c r="AR8" i="4"/>
  <c r="L8" i="4"/>
  <c r="AY4" i="4"/>
  <c r="V4" i="4"/>
  <c r="K4" i="4"/>
  <c r="Z13" i="14"/>
  <c r="Z15" i="14"/>
  <c r="Z16" i="14"/>
  <c r="AF14" i="14"/>
  <c r="AG14" i="14" s="1"/>
  <c r="AF12" i="14"/>
  <c r="AG12" i="14" s="1"/>
  <c r="Z14" i="7"/>
  <c r="AA14" i="7" s="1"/>
  <c r="R14" i="7"/>
  <c r="AB12" i="7"/>
  <c r="AC12" i="7" s="1"/>
  <c r="X13" i="7"/>
  <c r="BV4" i="4"/>
  <c r="BR4" i="4"/>
  <c r="BS7" i="4"/>
  <c r="N7" i="4"/>
  <c r="A7" i="4"/>
  <c r="Q7" i="4"/>
  <c r="K7" i="4"/>
  <c r="G7" i="4"/>
  <c r="O7" i="4"/>
  <c r="T17" i="14"/>
  <c r="AH7" i="4"/>
  <c r="N4" i="4"/>
  <c r="BP4" i="4"/>
  <c r="G4" i="4"/>
  <c r="J7" i="4"/>
  <c r="P4" i="4"/>
  <c r="AN4" i="4"/>
  <c r="Q4" i="4"/>
  <c r="AE4" i="4"/>
  <c r="Y11" i="14"/>
  <c r="Y17" i="14"/>
  <c r="R12" i="7"/>
  <c r="Z12" i="7"/>
  <c r="AA12" i="7" s="1"/>
  <c r="AE12" i="7" s="1"/>
  <c r="AG13" i="7"/>
  <c r="U11" i="7"/>
  <c r="AH11" i="7" s="1"/>
  <c r="X16" i="7"/>
  <c r="AB11" i="7"/>
  <c r="AC11" i="7" s="1"/>
  <c r="BQ4" i="4"/>
  <c r="BU7" i="4"/>
  <c r="BU8" i="4"/>
  <c r="AK7" i="4"/>
  <c r="P7" i="4"/>
  <c r="H7" i="4"/>
  <c r="D7" i="4"/>
  <c r="L7" i="4"/>
  <c r="V7" i="4"/>
  <c r="Y4" i="4"/>
  <c r="F4" i="4"/>
  <c r="R4" i="4"/>
  <c r="AY8" i="4"/>
  <c r="A4" i="4"/>
  <c r="O4" i="4"/>
  <c r="I4" i="4"/>
  <c r="E8" i="4"/>
  <c r="AH8" i="4"/>
  <c r="C8" i="4"/>
  <c r="BP8" i="4"/>
  <c r="I8" i="4"/>
  <c r="AB4" i="4"/>
  <c r="Z11" i="14"/>
  <c r="Z17" i="14"/>
  <c r="R16" i="7"/>
  <c r="Z11" i="7"/>
  <c r="AA11" i="7" s="1"/>
  <c r="AE11" i="7" s="1"/>
  <c r="CD12" i="10" a="1"/>
  <c r="CD12" i="10" s="1"/>
  <c r="CC12" i="10" a="1"/>
  <c r="CC12" i="10" s="1"/>
  <c r="CE12" i="10" a="1"/>
  <c r="CE12" i="10" s="1"/>
  <c r="Z39" i="4"/>
  <c r="AO39" i="4"/>
  <c r="AL39" i="4"/>
  <c r="T39" i="4"/>
  <c r="Q37" i="4"/>
  <c r="U17" i="11"/>
  <c r="AM17" i="11" s="1"/>
  <c r="AF41" i="4"/>
  <c r="D36" i="4"/>
  <c r="AS36" i="4"/>
  <c r="AC36" i="4"/>
  <c r="Q36" i="4"/>
  <c r="T36" i="4"/>
  <c r="AF36" i="4"/>
  <c r="AI36" i="4"/>
  <c r="AW36" i="4"/>
  <c r="I40" i="4"/>
  <c r="F41" i="4"/>
  <c r="AZ36" i="4"/>
  <c r="G36" i="4"/>
  <c r="I36" i="4"/>
  <c r="N36" i="4"/>
  <c r="P36" i="4"/>
  <c r="L36" i="4"/>
  <c r="BR37" i="4"/>
  <c r="AY37" i="4"/>
  <c r="AY36" i="4"/>
  <c r="AI41" i="4"/>
  <c r="AI37" i="4"/>
  <c r="AS39" i="4"/>
  <c r="Q39" i="4"/>
  <c r="J39" i="4"/>
  <c r="AW39" i="4"/>
  <c r="G39" i="4"/>
  <c r="C39" i="4"/>
  <c r="O39" i="4"/>
  <c r="BP36" i="4"/>
  <c r="M36" i="4"/>
  <c r="R36" i="4"/>
  <c r="C36" i="4"/>
  <c r="O36" i="4"/>
  <c r="AO36" i="4"/>
  <c r="AF37" i="4"/>
  <c r="N37" i="4"/>
  <c r="J37" i="4"/>
  <c r="W36" i="4"/>
  <c r="AZ37" i="4"/>
  <c r="AI39" i="4"/>
  <c r="AS37" i="4"/>
  <c r="Z36" i="4"/>
  <c r="BP39" i="4"/>
  <c r="S39" i="4"/>
  <c r="D39" i="4"/>
  <c r="K39" i="4"/>
  <c r="M39" i="4"/>
  <c r="AC39" i="4"/>
  <c r="AL36" i="4"/>
  <c r="F36" i="4"/>
  <c r="E36" i="4"/>
  <c r="K36" i="4"/>
  <c r="S36" i="4"/>
  <c r="J36" i="4"/>
  <c r="BP37" i="4"/>
  <c r="C37" i="4"/>
  <c r="G37" i="4"/>
  <c r="A36" i="4"/>
  <c r="BC38" i="4"/>
  <c r="BC40" i="4"/>
  <c r="E38" i="4"/>
  <c r="BP40" i="4"/>
  <c r="S37" i="4"/>
  <c r="AO37" i="4"/>
  <c r="AW37" i="4"/>
  <c r="AC37" i="4"/>
  <c r="L37" i="4"/>
  <c r="AW41" i="4"/>
  <c r="X39" i="4"/>
  <c r="X40" i="4"/>
  <c r="P37" i="4"/>
  <c r="R37" i="4"/>
  <c r="F37" i="4"/>
  <c r="E37" i="4"/>
  <c r="O37" i="4"/>
  <c r="X37" i="4"/>
  <c r="B34" i="4"/>
  <c r="AZ38" i="4"/>
  <c r="Q38" i="4"/>
  <c r="R40" i="4"/>
  <c r="G40" i="4"/>
  <c r="AZ40" i="4"/>
  <c r="S40" i="4"/>
  <c r="BT38" i="4"/>
  <c r="M38" i="4"/>
  <c r="AO38" i="4"/>
  <c r="F40" i="4"/>
  <c r="K40" i="4"/>
  <c r="C40" i="4"/>
  <c r="H40" i="4" s="1"/>
  <c r="N40" i="4"/>
  <c r="E40" i="4"/>
  <c r="P40" i="4"/>
  <c r="Z40" i="4"/>
  <c r="AS40" i="4"/>
  <c r="BP38" i="4"/>
  <c r="J40" i="4"/>
  <c r="T40" i="4"/>
  <c r="AO40" i="4"/>
  <c r="D40" i="4"/>
  <c r="L40" i="4"/>
  <c r="AW40" i="4"/>
  <c r="W38" i="4"/>
  <c r="AY38" i="4"/>
  <c r="AI40" i="4"/>
  <c r="G38" i="4"/>
  <c r="M40" i="4"/>
  <c r="AC40" i="4"/>
  <c r="Q40" i="4"/>
  <c r="AF40" i="4"/>
  <c r="AL40" i="4"/>
  <c r="O40" i="4"/>
  <c r="W40" i="4"/>
  <c r="AS41" i="4"/>
  <c r="O38" i="4"/>
  <c r="D38" i="4"/>
  <c r="AC38" i="4"/>
  <c r="L38" i="4"/>
  <c r="F38" i="4"/>
  <c r="S41" i="4"/>
  <c r="L41" i="4"/>
  <c r="AC41" i="4"/>
  <c r="U11" i="11"/>
  <c r="AM11" i="11" s="1"/>
  <c r="Z38" i="4"/>
  <c r="S38" i="4"/>
  <c r="R38" i="4"/>
  <c r="C38" i="4"/>
  <c r="H38" i="4" s="1"/>
  <c r="J38" i="4"/>
  <c r="AL38" i="4"/>
  <c r="I38" i="4"/>
  <c r="N41" i="4"/>
  <c r="Q41" i="4"/>
  <c r="T41" i="4"/>
  <c r="X41" i="4"/>
  <c r="AI38" i="4"/>
  <c r="AS38" i="4"/>
  <c r="AF38" i="4"/>
  <c r="P38" i="4"/>
  <c r="N38" i="4"/>
  <c r="T38" i="4"/>
  <c r="AW38" i="4"/>
  <c r="K38" i="4"/>
  <c r="J41" i="4"/>
  <c r="AL41" i="4"/>
  <c r="E41" i="4"/>
  <c r="X38" i="4"/>
  <c r="X35" i="4"/>
  <c r="V12" i="11"/>
  <c r="AN12" i="11" s="1"/>
  <c r="BT35" i="4" s="1"/>
  <c r="V16" i="11"/>
  <c r="AN16" i="11" s="1"/>
  <c r="BT39" i="4" s="1"/>
  <c r="V18" i="11"/>
  <c r="AN18" i="11" s="1"/>
  <c r="BT41" i="4" s="1"/>
  <c r="M41" i="4"/>
  <c r="BP41" i="4"/>
  <c r="K41" i="4"/>
  <c r="D41" i="4"/>
  <c r="G41" i="4"/>
  <c r="R41" i="4"/>
  <c r="W41" i="4"/>
  <c r="A41" i="4"/>
  <c r="A37" i="4"/>
  <c r="A35" i="4"/>
  <c r="H35" i="4" s="1"/>
  <c r="AL37" i="4"/>
  <c r="AO41" i="4"/>
  <c r="C41" i="4"/>
  <c r="O41" i="4"/>
  <c r="P41" i="4"/>
  <c r="W39" i="4"/>
  <c r="Y11" i="13" l="1"/>
  <c r="Z11" i="13" s="1"/>
  <c r="AS11" i="13" s="1"/>
  <c r="AU11" i="13" s="1"/>
  <c r="AC14" i="13"/>
  <c r="AD14" i="13" s="1"/>
  <c r="AC18" i="13"/>
  <c r="AD18" i="13" s="1"/>
  <c r="AC17" i="13"/>
  <c r="AD17" i="13" s="1"/>
  <c r="BB14" i="13"/>
  <c r="AC16" i="13"/>
  <c r="Y12" i="13"/>
  <c r="Z12" i="13" s="1"/>
  <c r="AS12" i="13" s="1"/>
  <c r="AU12" i="13" s="1"/>
  <c r="AC13" i="13"/>
  <c r="AD15" i="13"/>
  <c r="BB15" i="13"/>
  <c r="BB18" i="13"/>
  <c r="AQ18" i="13"/>
  <c r="AV18" i="13" s="1"/>
  <c r="AW18" i="13"/>
  <c r="AY18" i="13" s="1"/>
  <c r="BA18" i="13" s="1"/>
  <c r="AC12" i="13"/>
  <c r="BB12" i="13" s="1"/>
  <c r="Y14" i="13"/>
  <c r="Z14" i="13" s="1"/>
  <c r="AS14" i="13" s="1"/>
  <c r="AU14" i="13" s="1"/>
  <c r="Y17" i="13"/>
  <c r="Z17" i="13" s="1"/>
  <c r="AS17" i="13" s="1"/>
  <c r="AU17" i="13" s="1"/>
  <c r="AQ15" i="13"/>
  <c r="AV15" i="13" s="1"/>
  <c r="AW15" i="13"/>
  <c r="AY15" i="13" s="1"/>
  <c r="Y16" i="13"/>
  <c r="Z16" i="13" s="1"/>
  <c r="AS16" i="13" s="1"/>
  <c r="AU16" i="13" s="1"/>
  <c r="Y13" i="13"/>
  <c r="Z13" i="13" s="1"/>
  <c r="AS13" i="13" s="1"/>
  <c r="AU13" i="13" s="1"/>
  <c r="AO11" i="11"/>
  <c r="AQ11" i="11" s="1"/>
  <c r="BC36" i="4"/>
  <c r="AL13" i="11"/>
  <c r="BS36" i="4"/>
  <c r="AO13" i="11"/>
  <c r="AQ13" i="11" s="1"/>
  <c r="BS40" i="4"/>
  <c r="AO17" i="11"/>
  <c r="AQ17" i="11" s="1"/>
  <c r="BS41" i="4"/>
  <c r="AO18" i="11"/>
  <c r="AQ18" i="11" s="1"/>
  <c r="BS35" i="4"/>
  <c r="AO12" i="11"/>
  <c r="AQ12" i="11" s="1"/>
  <c r="BS37" i="4"/>
  <c r="AO14" i="11"/>
  <c r="AQ14" i="11" s="1"/>
  <c r="BS39" i="4"/>
  <c r="AO16" i="11"/>
  <c r="AQ16" i="11" s="1"/>
  <c r="BS38" i="4"/>
  <c r="AO15" i="11"/>
  <c r="AQ15" i="11" s="1"/>
  <c r="AL16" i="11"/>
  <c r="AL18" i="11"/>
  <c r="BU12" i="10"/>
  <c r="BP12" i="10"/>
  <c r="BO12" i="10"/>
  <c r="B45" i="4"/>
  <c r="BP45" i="4" s="1"/>
  <c r="B33" i="4"/>
  <c r="AS33" i="4" s="1"/>
  <c r="B28" i="4"/>
  <c r="BO28" i="4" s="1"/>
  <c r="AF13" i="4"/>
  <c r="AA13" i="4"/>
  <c r="P13" i="4"/>
  <c r="T13" i="4"/>
  <c r="AO13" i="4"/>
  <c r="AP13" i="4"/>
  <c r="BC13" i="4"/>
  <c r="J13" i="4"/>
  <c r="D13" i="4"/>
  <c r="AD13" i="4"/>
  <c r="A13" i="4"/>
  <c r="U13" i="4"/>
  <c r="C13" i="4"/>
  <c r="BP13" i="4"/>
  <c r="G13" i="4"/>
  <c r="AQ13" i="4"/>
  <c r="R13" i="4"/>
  <c r="AL13" i="4"/>
  <c r="BV13" i="4"/>
  <c r="M13" i="4"/>
  <c r="Y13" i="4"/>
  <c r="L13" i="4"/>
  <c r="I13" i="4"/>
  <c r="E13" i="4"/>
  <c r="AJ13" i="4"/>
  <c r="Q13" i="4"/>
  <c r="N13" i="4"/>
  <c r="F13" i="4"/>
  <c r="O13" i="4"/>
  <c r="AY13" i="4"/>
  <c r="K13" i="4"/>
  <c r="AC13" i="4"/>
  <c r="BR35" i="4"/>
  <c r="BQ35" i="4"/>
  <c r="BR38" i="4"/>
  <c r="BQ38" i="4"/>
  <c r="BR40" i="4"/>
  <c r="BQ40" i="4"/>
  <c r="B44" i="4"/>
  <c r="F44" i="4" s="1"/>
  <c r="AF11" i="7"/>
  <c r="AD15" i="7"/>
  <c r="S18" i="7"/>
  <c r="V18" i="7"/>
  <c r="AY40" i="4"/>
  <c r="AE14" i="7"/>
  <c r="B32" i="4"/>
  <c r="AZ32" i="4" s="1"/>
  <c r="B14" i="4"/>
  <c r="O14" i="4" s="1"/>
  <c r="BS13" i="4"/>
  <c r="Z13" i="4"/>
  <c r="AI13" i="4"/>
  <c r="AM13" i="4"/>
  <c r="F22" i="4"/>
  <c r="C22" i="4"/>
  <c r="I22" i="4"/>
  <c r="E22" i="4"/>
  <c r="A22" i="4"/>
  <c r="D22" i="4"/>
  <c r="AZ39" i="4"/>
  <c r="AZ35" i="4"/>
  <c r="AZ41" i="4"/>
  <c r="H41" i="4"/>
  <c r="H39" i="4"/>
  <c r="H36" i="4"/>
  <c r="H37" i="4"/>
  <c r="AC11" i="13"/>
  <c r="BB11" i="13" s="1"/>
  <c r="AG15" i="12"/>
  <c r="AF15" i="12" s="1"/>
  <c r="AG12" i="12"/>
  <c r="AF12" i="12" s="1"/>
  <c r="AG16" i="12"/>
  <c r="AF16" i="12" s="1"/>
  <c r="B29" i="4"/>
  <c r="O29" i="4" s="1"/>
  <c r="AE17" i="7"/>
  <c r="AD11" i="7"/>
  <c r="AK10" i="14" a="1"/>
  <c r="AK10" i="14" s="1"/>
  <c r="AJ10" i="14" a="1"/>
  <c r="AJ10" i="14" s="1"/>
  <c r="AA10" i="14"/>
  <c r="AB10" i="14" s="1"/>
  <c r="AF10" i="14" s="1"/>
  <c r="S10" i="14"/>
  <c r="V10" i="14"/>
  <c r="AE15" i="7"/>
  <c r="AF18" i="7"/>
  <c r="AD12" i="7"/>
  <c r="AS11" i="8"/>
  <c r="AP11" i="8" s="1" a="1"/>
  <c r="AP11" i="8" s="1"/>
  <c r="B49" i="4"/>
  <c r="BP49" i="4" s="1"/>
  <c r="AD10" i="14"/>
  <c r="AD16" i="7"/>
  <c r="AD17" i="7"/>
  <c r="CB12" i="10"/>
  <c r="BZ12" i="10" s="1"/>
  <c r="BA12" i="10"/>
  <c r="BW12" i="10" s="1"/>
  <c r="B48" i="4"/>
  <c r="U13" i="7"/>
  <c r="R13" i="7"/>
  <c r="Z13" i="7"/>
  <c r="AA13" i="7" s="1"/>
  <c r="AE13" i="7" s="1"/>
  <c r="AB13" i="7"/>
  <c r="AC13" i="7" s="1"/>
  <c r="AD13" i="7" s="1"/>
  <c r="AH17" i="7"/>
  <c r="S17" i="7"/>
  <c r="V17" i="7"/>
  <c r="S15" i="7"/>
  <c r="V15" i="7"/>
  <c r="AH15" i="7"/>
  <c r="AH16" i="7"/>
  <c r="AF16" i="7" s="1"/>
  <c r="S16" i="7"/>
  <c r="V16" i="7"/>
  <c r="AH12" i="7"/>
  <c r="AF12" i="7" s="1"/>
  <c r="V12" i="7"/>
  <c r="S12" i="7"/>
  <c r="S14" i="7"/>
  <c r="AH14" i="7"/>
  <c r="V14" i="7"/>
  <c r="F34" i="4"/>
  <c r="I34" i="4"/>
  <c r="BP34" i="4"/>
  <c r="AI34" i="4"/>
  <c r="C34" i="4"/>
  <c r="AO34" i="4"/>
  <c r="W34" i="4"/>
  <c r="AZ34" i="4"/>
  <c r="AY34" i="4"/>
  <c r="AW34" i="4"/>
  <c r="J34" i="4"/>
  <c r="T34" i="4"/>
  <c r="C18" i="3" s="1"/>
  <c r="R34" i="4"/>
  <c r="AC34" i="4"/>
  <c r="Q34" i="4"/>
  <c r="X34" i="4"/>
  <c r="AL34" i="4"/>
  <c r="D34" i="4"/>
  <c r="E34" i="4"/>
  <c r="BS34" i="4"/>
  <c r="S34" i="4"/>
  <c r="AS34" i="4"/>
  <c r="AF34" i="4"/>
  <c r="P34" i="4"/>
  <c r="N34" i="4"/>
  <c r="BQ34" i="4"/>
  <c r="A34" i="4"/>
  <c r="G34" i="4"/>
  <c r="Z34" i="4"/>
  <c r="K34" i="4"/>
  <c r="L34" i="4"/>
  <c r="BT34" i="4"/>
  <c r="M34" i="4"/>
  <c r="O34" i="4"/>
  <c r="BR34" i="4"/>
  <c r="BC34" i="4"/>
  <c r="BA15" i="13" l="1"/>
  <c r="BV34" i="4"/>
  <c r="AD12" i="13"/>
  <c r="AW11" i="13"/>
  <c r="AY11" i="13" s="1"/>
  <c r="BA11" i="13" s="1"/>
  <c r="AQ11" i="13"/>
  <c r="AV11" i="13" s="1"/>
  <c r="BB17" i="13"/>
  <c r="AW12" i="13"/>
  <c r="AY12" i="13" s="1"/>
  <c r="BA12" i="13" s="1"/>
  <c r="AD13" i="13"/>
  <c r="BB13" i="13"/>
  <c r="B52" i="4" s="1"/>
  <c r="AD16" i="13"/>
  <c r="BB16" i="13"/>
  <c r="B55" i="4" s="1"/>
  <c r="AQ12" i="13"/>
  <c r="AV12" i="13" s="1"/>
  <c r="AQ17" i="13"/>
  <c r="AV17" i="13" s="1"/>
  <c r="AW17" i="13"/>
  <c r="AY17" i="13" s="1"/>
  <c r="BA17" i="13" s="1"/>
  <c r="AQ14" i="13"/>
  <c r="AV14" i="13" s="1"/>
  <c r="AW14" i="13"/>
  <c r="AY14" i="13" s="1"/>
  <c r="BA14" i="13" s="1"/>
  <c r="AQ13" i="13"/>
  <c r="AV13" i="13" s="1"/>
  <c r="AW13" i="13"/>
  <c r="AY13" i="13" s="1"/>
  <c r="AQ16" i="13"/>
  <c r="AV16" i="13" s="1"/>
  <c r="AW16" i="13"/>
  <c r="AY16" i="13" s="1"/>
  <c r="AF17" i="7"/>
  <c r="AF14" i="7"/>
  <c r="AQ11" i="8"/>
  <c r="BX12" i="10"/>
  <c r="BT12" i="10"/>
  <c r="H13" i="4"/>
  <c r="BQ28" i="4"/>
  <c r="AA14" i="4"/>
  <c r="P14" i="4"/>
  <c r="R45" i="4"/>
  <c r="T45" i="4"/>
  <c r="Q45" i="4"/>
  <c r="L45" i="4"/>
  <c r="AA45" i="4"/>
  <c r="Y45" i="4"/>
  <c r="BR45" i="4"/>
  <c r="AD45" i="4"/>
  <c r="I45" i="4"/>
  <c r="AP45" i="4"/>
  <c r="D45" i="4"/>
  <c r="O45" i="4"/>
  <c r="AY45" i="4"/>
  <c r="BV45" i="4"/>
  <c r="E45" i="4"/>
  <c r="F45" i="4"/>
  <c r="AG45" i="4"/>
  <c r="C45" i="4"/>
  <c r="BS45" i="4"/>
  <c r="J45" i="4"/>
  <c r="P45" i="4"/>
  <c r="BC45" i="4"/>
  <c r="BQ45" i="4"/>
  <c r="BU45" i="4"/>
  <c r="N45" i="4"/>
  <c r="M45" i="4"/>
  <c r="A45" i="4"/>
  <c r="G45" i="4"/>
  <c r="J44" i="4"/>
  <c r="O44" i="4"/>
  <c r="AA44" i="4"/>
  <c r="M44" i="4"/>
  <c r="P44" i="4"/>
  <c r="BV44" i="4"/>
  <c r="BS44" i="4"/>
  <c r="L44" i="4"/>
  <c r="N44" i="4"/>
  <c r="BC44" i="4"/>
  <c r="R44" i="4"/>
  <c r="Q44" i="4"/>
  <c r="AG44" i="4"/>
  <c r="BP44" i="4"/>
  <c r="C44" i="4"/>
  <c r="I44" i="4"/>
  <c r="BR44" i="4"/>
  <c r="D44" i="4"/>
  <c r="E44" i="4"/>
  <c r="BU44" i="4"/>
  <c r="Y44" i="4"/>
  <c r="AP44" i="4"/>
  <c r="BQ44" i="4"/>
  <c r="AY44" i="4"/>
  <c r="T44" i="4"/>
  <c r="G44" i="4"/>
  <c r="AD44" i="4"/>
  <c r="A44" i="4"/>
  <c r="AS28" i="4"/>
  <c r="AD28" i="4"/>
  <c r="AT28" i="4"/>
  <c r="BC28" i="4"/>
  <c r="AV28" i="4"/>
  <c r="R28" i="4"/>
  <c r="N28" i="4"/>
  <c r="AZ28" i="4"/>
  <c r="BT28" i="4"/>
  <c r="S28" i="4"/>
  <c r="O28" i="4"/>
  <c r="AX28" i="4"/>
  <c r="C28" i="4"/>
  <c r="F28" i="4"/>
  <c r="BI28" i="4"/>
  <c r="AQ28" i="4"/>
  <c r="BK28" i="4"/>
  <c r="BH28" i="4"/>
  <c r="BD28" i="4"/>
  <c r="BN28" i="4"/>
  <c r="BP28" i="4"/>
  <c r="BF28" i="4"/>
  <c r="AA28" i="4"/>
  <c r="BM28" i="4"/>
  <c r="BL28" i="4"/>
  <c r="A28" i="4"/>
  <c r="BV28" i="4"/>
  <c r="Q28" i="4"/>
  <c r="AP28" i="4"/>
  <c r="BJ28" i="4"/>
  <c r="K28" i="4"/>
  <c r="AJ28" i="4"/>
  <c r="AG28" i="4"/>
  <c r="BS28" i="4"/>
  <c r="G28" i="4"/>
  <c r="D28" i="4"/>
  <c r="I28" i="4"/>
  <c r="L28" i="4"/>
  <c r="P28" i="4"/>
  <c r="T28" i="4"/>
  <c r="AW28" i="4"/>
  <c r="BE28" i="4"/>
  <c r="J28" i="4"/>
  <c r="Y28" i="4"/>
  <c r="M28" i="4"/>
  <c r="AY28" i="4"/>
  <c r="BG28" i="4"/>
  <c r="E28" i="4"/>
  <c r="AJ32" i="4"/>
  <c r="I32" i="4"/>
  <c r="BK32" i="4"/>
  <c r="AV32" i="4"/>
  <c r="AQ32" i="4"/>
  <c r="AW32" i="4"/>
  <c r="BD32" i="4"/>
  <c r="M33" i="4"/>
  <c r="AZ33" i="4"/>
  <c r="T33" i="4"/>
  <c r="BH33" i="4"/>
  <c r="BR33" i="4"/>
  <c r="AJ33" i="4"/>
  <c r="Y33" i="4"/>
  <c r="BJ33" i="4"/>
  <c r="K33" i="4"/>
  <c r="AP33" i="4"/>
  <c r="D33" i="4"/>
  <c r="S33" i="4"/>
  <c r="BP33" i="4"/>
  <c r="C33" i="4"/>
  <c r="AW33" i="4"/>
  <c r="BD33" i="4"/>
  <c r="I33" i="4"/>
  <c r="N33" i="4"/>
  <c r="P33" i="4"/>
  <c r="O33" i="4"/>
  <c r="AV33" i="4"/>
  <c r="AQ33" i="4"/>
  <c r="AD33" i="4"/>
  <c r="BQ33" i="4"/>
  <c r="BI33" i="4"/>
  <c r="BE33" i="4"/>
  <c r="R33" i="4"/>
  <c r="A33" i="4"/>
  <c r="BN33" i="4"/>
  <c r="BF33" i="4"/>
  <c r="BT33" i="4"/>
  <c r="F33" i="4"/>
  <c r="G33" i="4"/>
  <c r="BK33" i="4"/>
  <c r="BG33" i="4"/>
  <c r="AG33" i="4"/>
  <c r="Q33" i="4"/>
  <c r="AA33" i="4"/>
  <c r="AX33" i="4"/>
  <c r="E33" i="4"/>
  <c r="AY33" i="4"/>
  <c r="J33" i="4"/>
  <c r="U33" i="4"/>
  <c r="AT33" i="4"/>
  <c r="BC33" i="4"/>
  <c r="L33" i="4"/>
  <c r="BL33" i="4"/>
  <c r="BS33" i="4"/>
  <c r="BO33" i="4"/>
  <c r="BV33" i="4"/>
  <c r="BM33" i="4"/>
  <c r="U32" i="4"/>
  <c r="K32" i="4"/>
  <c r="A32" i="4"/>
  <c r="Y32" i="4"/>
  <c r="AP32" i="4"/>
  <c r="Q32" i="4"/>
  <c r="M32" i="4"/>
  <c r="BU32" i="4"/>
  <c r="BG32" i="4"/>
  <c r="J32" i="4"/>
  <c r="BA32" i="4"/>
  <c r="BP32" i="4"/>
  <c r="BM32" i="4"/>
  <c r="L32" i="4"/>
  <c r="R32" i="4"/>
  <c r="G32" i="4"/>
  <c r="BB32" i="4"/>
  <c r="AX32" i="4"/>
  <c r="BT32" i="4"/>
  <c r="BS32" i="4"/>
  <c r="U28" i="4"/>
  <c r="AD32" i="4"/>
  <c r="E32" i="4"/>
  <c r="AG32" i="4"/>
  <c r="AY32" i="4"/>
  <c r="N32" i="4"/>
  <c r="P32" i="4"/>
  <c r="BC32" i="4"/>
  <c r="BL32" i="4"/>
  <c r="T32" i="4"/>
  <c r="BE32" i="4"/>
  <c r="BF32" i="4"/>
  <c r="BV32" i="4"/>
  <c r="BN32" i="4"/>
  <c r="D32" i="4"/>
  <c r="BH32" i="4"/>
  <c r="C32" i="4"/>
  <c r="BO32" i="4"/>
  <c r="Y14" i="4"/>
  <c r="BQ14" i="4"/>
  <c r="U14" i="4"/>
  <c r="AL14" i="4"/>
  <c r="BP14" i="4"/>
  <c r="BR14" i="4"/>
  <c r="A14" i="4"/>
  <c r="AJ14" i="4"/>
  <c r="L14" i="4"/>
  <c r="K14" i="4"/>
  <c r="C14" i="4"/>
  <c r="AC14" i="4"/>
  <c r="AI14" i="4"/>
  <c r="D14" i="4"/>
  <c r="Z14" i="4"/>
  <c r="AO14" i="4"/>
  <c r="BU14" i="4"/>
  <c r="Q14" i="4"/>
  <c r="R14" i="4"/>
  <c r="AY14" i="4"/>
  <c r="E14" i="4"/>
  <c r="BV14" i="4"/>
  <c r="F14" i="4"/>
  <c r="AP14" i="4"/>
  <c r="J14" i="4"/>
  <c r="I14" i="4"/>
  <c r="T14" i="4"/>
  <c r="BA28" i="4"/>
  <c r="S32" i="4"/>
  <c r="BJ32" i="4"/>
  <c r="AS32" i="4"/>
  <c r="BB28" i="4"/>
  <c r="BI32" i="4"/>
  <c r="BU28" i="4"/>
  <c r="BQ36" i="4"/>
  <c r="BR36" i="4"/>
  <c r="AA32" i="4"/>
  <c r="AT32" i="4"/>
  <c r="F32" i="4"/>
  <c r="BQ39" i="4"/>
  <c r="BR39" i="4"/>
  <c r="H32" i="4"/>
  <c r="O32" i="4"/>
  <c r="BR41" i="4"/>
  <c r="BQ41" i="4"/>
  <c r="BR32" i="4"/>
  <c r="BQ32" i="4"/>
  <c r="BA33" i="4"/>
  <c r="BB33" i="4"/>
  <c r="BR28" i="4"/>
  <c r="H28" i="4"/>
  <c r="H33" i="4"/>
  <c r="G29" i="4"/>
  <c r="BV29" i="4"/>
  <c r="BT29" i="4"/>
  <c r="P29" i="4"/>
  <c r="AG29" i="4"/>
  <c r="E29" i="4"/>
  <c r="BF29" i="4"/>
  <c r="AW29" i="4"/>
  <c r="A29" i="4"/>
  <c r="BL29" i="4"/>
  <c r="G14" i="4"/>
  <c r="AD14" i="4"/>
  <c r="N14" i="4"/>
  <c r="BC14" i="4"/>
  <c r="AF14" i="4"/>
  <c r="AQ14" i="4"/>
  <c r="AM14" i="4"/>
  <c r="AG14" i="4"/>
  <c r="M14" i="4"/>
  <c r="BU13" i="4"/>
  <c r="H14" i="4"/>
  <c r="BQ13" i="4"/>
  <c r="BR13" i="4"/>
  <c r="BS14" i="4"/>
  <c r="B11" i="4"/>
  <c r="B17" i="4"/>
  <c r="B16" i="4"/>
  <c r="B12" i="4"/>
  <c r="B15" i="4"/>
  <c r="H22" i="4"/>
  <c r="F25" i="4"/>
  <c r="A25" i="4"/>
  <c r="C25" i="4"/>
  <c r="E25" i="4"/>
  <c r="D25" i="4"/>
  <c r="I25" i="4"/>
  <c r="E23" i="4"/>
  <c r="F23" i="4"/>
  <c r="I23" i="4"/>
  <c r="C23" i="4"/>
  <c r="D23" i="4"/>
  <c r="A23" i="4"/>
  <c r="A21" i="4"/>
  <c r="D21" i="4"/>
  <c r="C21" i="4"/>
  <c r="F21" i="4"/>
  <c r="I21" i="4"/>
  <c r="E21" i="4"/>
  <c r="A19" i="4"/>
  <c r="D19" i="4"/>
  <c r="F19" i="4"/>
  <c r="I19" i="4"/>
  <c r="E19" i="4"/>
  <c r="C19" i="4"/>
  <c r="BV40" i="4"/>
  <c r="BU40" i="4"/>
  <c r="BV37" i="4"/>
  <c r="BU37" i="4"/>
  <c r="BV35" i="4"/>
  <c r="BU35" i="4"/>
  <c r="BV36" i="4"/>
  <c r="BU36" i="4"/>
  <c r="BV41" i="4"/>
  <c r="BU41" i="4"/>
  <c r="BV39" i="4"/>
  <c r="BU39" i="4"/>
  <c r="BV38" i="4"/>
  <c r="BU38" i="4"/>
  <c r="B56" i="4"/>
  <c r="B53" i="4"/>
  <c r="B57" i="4"/>
  <c r="B54" i="4"/>
  <c r="AA29" i="4"/>
  <c r="BG29" i="4"/>
  <c r="Q29" i="4"/>
  <c r="AT29" i="4"/>
  <c r="AD11" i="13"/>
  <c r="H44" i="4"/>
  <c r="B43" i="4"/>
  <c r="B47" i="4"/>
  <c r="B46" i="4"/>
  <c r="BO29" i="4"/>
  <c r="N29" i="4"/>
  <c r="D29" i="4"/>
  <c r="AX29" i="4"/>
  <c r="AZ29" i="4"/>
  <c r="AD29" i="4"/>
  <c r="BU29" i="4"/>
  <c r="BM29" i="4"/>
  <c r="BI29" i="4"/>
  <c r="BP29" i="4"/>
  <c r="L29" i="4"/>
  <c r="Y29" i="4"/>
  <c r="AS29" i="4"/>
  <c r="J29" i="4"/>
  <c r="BB29" i="4"/>
  <c r="BJ29" i="4"/>
  <c r="C29" i="4"/>
  <c r="BC29" i="4"/>
  <c r="T29" i="4"/>
  <c r="M29" i="4"/>
  <c r="BS29" i="4"/>
  <c r="BD29" i="4"/>
  <c r="BH29" i="4"/>
  <c r="BQ29" i="4"/>
  <c r="AV29" i="4"/>
  <c r="F29" i="4"/>
  <c r="AJ29" i="4"/>
  <c r="BR29" i="4"/>
  <c r="AP29" i="4"/>
  <c r="R29" i="4"/>
  <c r="BE29" i="4"/>
  <c r="AY29" i="4"/>
  <c r="S29" i="4"/>
  <c r="U29" i="4"/>
  <c r="K29" i="4"/>
  <c r="AQ29" i="4"/>
  <c r="I29" i="4"/>
  <c r="BA29" i="4"/>
  <c r="BN29" i="4"/>
  <c r="BK29" i="4"/>
  <c r="AG49" i="4"/>
  <c r="BR49" i="4"/>
  <c r="AI10" i="14"/>
  <c r="B2" i="4" s="1"/>
  <c r="AB2" i="4" s="1"/>
  <c r="T10" i="14"/>
  <c r="W10" i="14"/>
  <c r="O49" i="4"/>
  <c r="AF15" i="7"/>
  <c r="BU33" i="4"/>
  <c r="B10" i="4"/>
  <c r="P10" i="4" s="1"/>
  <c r="BS49" i="4"/>
  <c r="D49" i="4"/>
  <c r="G49" i="4"/>
  <c r="T49" i="4"/>
  <c r="Y49" i="4"/>
  <c r="Q49" i="4"/>
  <c r="J49" i="4"/>
  <c r="AD49" i="4"/>
  <c r="M49" i="4"/>
  <c r="BV49" i="4"/>
  <c r="A49" i="4"/>
  <c r="N49" i="4"/>
  <c r="F49" i="4"/>
  <c r="E49" i="4"/>
  <c r="L49" i="4"/>
  <c r="C49" i="4"/>
  <c r="P49" i="4"/>
  <c r="I49" i="4"/>
  <c r="AY49" i="4"/>
  <c r="AA49" i="4"/>
  <c r="BQ49" i="4"/>
  <c r="BC49" i="4"/>
  <c r="R49" i="4"/>
  <c r="AP49" i="4"/>
  <c r="BU49" i="4"/>
  <c r="H29" i="4"/>
  <c r="B31" i="4"/>
  <c r="B26" i="4"/>
  <c r="B27" i="4"/>
  <c r="B30" i="4"/>
  <c r="AO11" i="13"/>
  <c r="S13" i="7"/>
  <c r="AH13" i="7"/>
  <c r="AF13" i="7" s="1"/>
  <c r="V13" i="7"/>
  <c r="O48" i="4"/>
  <c r="R48" i="4"/>
  <c r="T48" i="4"/>
  <c r="I48" i="4"/>
  <c r="F48" i="4"/>
  <c r="BC48" i="4"/>
  <c r="BV48" i="4"/>
  <c r="BU48" i="4"/>
  <c r="D48" i="4"/>
  <c r="AP48" i="4"/>
  <c r="G48" i="4"/>
  <c r="E48" i="4"/>
  <c r="AD48" i="4"/>
  <c r="J48" i="4"/>
  <c r="L48" i="4"/>
  <c r="N48" i="4"/>
  <c r="BQ48" i="4"/>
  <c r="C48" i="4"/>
  <c r="Q48" i="4"/>
  <c r="P48" i="4"/>
  <c r="BP48" i="4"/>
  <c r="AY48" i="4"/>
  <c r="M48" i="4"/>
  <c r="BS48" i="4"/>
  <c r="AA48" i="4"/>
  <c r="AG48" i="4"/>
  <c r="A48" i="4"/>
  <c r="Y48" i="4"/>
  <c r="BR48" i="4"/>
  <c r="H34" i="4"/>
  <c r="BU34" i="4"/>
  <c r="BA16" i="13" l="1"/>
  <c r="BA13" i="13"/>
  <c r="B50" i="4"/>
  <c r="T50" i="4" s="1"/>
  <c r="H45" i="4"/>
  <c r="D18" i="3"/>
  <c r="A20" i="4"/>
  <c r="D20" i="4"/>
  <c r="F20" i="4"/>
  <c r="E20" i="4"/>
  <c r="C20" i="4"/>
  <c r="I20" i="4"/>
  <c r="D24" i="4"/>
  <c r="C24" i="4"/>
  <c r="I24" i="4"/>
  <c r="F24" i="4"/>
  <c r="A24" i="4"/>
  <c r="H48" i="4"/>
  <c r="BR2" i="4"/>
  <c r="I12" i="4"/>
  <c r="K12" i="4"/>
  <c r="D12" i="4"/>
  <c r="BR12" i="4"/>
  <c r="AC12" i="4"/>
  <c r="F12" i="4"/>
  <c r="L12" i="4"/>
  <c r="AF12" i="4"/>
  <c r="Q12" i="4"/>
  <c r="AY12" i="4"/>
  <c r="AJ12" i="4"/>
  <c r="P12" i="4"/>
  <c r="AM12" i="4"/>
  <c r="AG12" i="4"/>
  <c r="O12" i="4"/>
  <c r="C12" i="4"/>
  <c r="AA12" i="4"/>
  <c r="BS12" i="4"/>
  <c r="BC12" i="4"/>
  <c r="BU12" i="4"/>
  <c r="Z12" i="4"/>
  <c r="G12" i="4"/>
  <c r="BV12" i="4"/>
  <c r="J12" i="4"/>
  <c r="N12" i="4"/>
  <c r="AI12" i="4"/>
  <c r="AQ12" i="4"/>
  <c r="M12" i="4"/>
  <c r="R12" i="4"/>
  <c r="AO12" i="4"/>
  <c r="Y12" i="4"/>
  <c r="A12" i="4"/>
  <c r="U12" i="4"/>
  <c r="E12" i="4"/>
  <c r="AL12" i="4"/>
  <c r="BQ12" i="4"/>
  <c r="AD12" i="4"/>
  <c r="BP12" i="4"/>
  <c r="T12" i="4"/>
  <c r="AP12" i="4"/>
  <c r="AG17" i="4"/>
  <c r="I17" i="4"/>
  <c r="AO17" i="4"/>
  <c r="AY17" i="4"/>
  <c r="AA17" i="4"/>
  <c r="G17" i="4"/>
  <c r="AM17" i="4"/>
  <c r="K17" i="4"/>
  <c r="AJ17" i="4"/>
  <c r="O17" i="4"/>
  <c r="Y17" i="4"/>
  <c r="Q17" i="4"/>
  <c r="J17" i="4"/>
  <c r="BU17" i="4"/>
  <c r="C17" i="4"/>
  <c r="AF17" i="4"/>
  <c r="BV17" i="4"/>
  <c r="U17" i="4"/>
  <c r="R17" i="4"/>
  <c r="T17" i="4"/>
  <c r="M17" i="4"/>
  <c r="P17" i="4"/>
  <c r="AQ17" i="4"/>
  <c r="AL17" i="4"/>
  <c r="BR17" i="4"/>
  <c r="A17" i="4"/>
  <c r="AC17" i="4"/>
  <c r="Z17" i="4"/>
  <c r="E17" i="4"/>
  <c r="BC17" i="4"/>
  <c r="AI17" i="4"/>
  <c r="AP17" i="4"/>
  <c r="AD17" i="4"/>
  <c r="F17" i="4"/>
  <c r="N17" i="4"/>
  <c r="BQ17" i="4"/>
  <c r="BP17" i="4"/>
  <c r="BS17" i="4"/>
  <c r="L17" i="4"/>
  <c r="D17" i="4"/>
  <c r="AL15" i="4"/>
  <c r="P15" i="4"/>
  <c r="Q15" i="4"/>
  <c r="AO15" i="4"/>
  <c r="F15" i="4"/>
  <c r="Y15" i="4"/>
  <c r="G15" i="4"/>
  <c r="BC15" i="4"/>
  <c r="BV15" i="4"/>
  <c r="U15" i="4"/>
  <c r="D15" i="4"/>
  <c r="AI15" i="4"/>
  <c r="I15" i="4"/>
  <c r="A15" i="4"/>
  <c r="BP15" i="4"/>
  <c r="AQ15" i="4"/>
  <c r="T15" i="4"/>
  <c r="BR15" i="4"/>
  <c r="L15" i="4"/>
  <c r="AY15" i="4"/>
  <c r="AG15" i="4"/>
  <c r="M15" i="4"/>
  <c r="R15" i="4"/>
  <c r="BU15" i="4"/>
  <c r="J15" i="4"/>
  <c r="AP15" i="4"/>
  <c r="K15" i="4"/>
  <c r="AJ15" i="4"/>
  <c r="C15" i="4"/>
  <c r="AD15" i="4"/>
  <c r="AA15" i="4"/>
  <c r="AC15" i="4"/>
  <c r="O15" i="4"/>
  <c r="BS15" i="4"/>
  <c r="N15" i="4"/>
  <c r="AM15" i="4"/>
  <c r="E15" i="4"/>
  <c r="AF15" i="4"/>
  <c r="Z15" i="4"/>
  <c r="BQ15" i="4"/>
  <c r="M11" i="4"/>
  <c r="R11" i="4"/>
  <c r="I11" i="4"/>
  <c r="N11" i="4"/>
  <c r="J11" i="4"/>
  <c r="BU11" i="4"/>
  <c r="Z11" i="4"/>
  <c r="AA11" i="4"/>
  <c r="AL11" i="4"/>
  <c r="T11" i="4"/>
  <c r="BP11" i="4"/>
  <c r="AD11" i="4"/>
  <c r="K11" i="4"/>
  <c r="U11" i="4"/>
  <c r="G11" i="4"/>
  <c r="AF11" i="4"/>
  <c r="AO11" i="4"/>
  <c r="AY11" i="4"/>
  <c r="BS11" i="4"/>
  <c r="BC11" i="4"/>
  <c r="AG11" i="4"/>
  <c r="AI11" i="4"/>
  <c r="E11" i="4"/>
  <c r="AC11" i="4"/>
  <c r="AM11" i="4"/>
  <c r="BQ11" i="4"/>
  <c r="BR11" i="4"/>
  <c r="C11" i="4"/>
  <c r="Y11" i="4"/>
  <c r="A11" i="4"/>
  <c r="P11" i="4"/>
  <c r="AJ11" i="4"/>
  <c r="BV11" i="4"/>
  <c r="L11" i="4"/>
  <c r="F11" i="4"/>
  <c r="O11" i="4"/>
  <c r="D11" i="4"/>
  <c r="AP11" i="4"/>
  <c r="AQ11" i="4"/>
  <c r="Q11" i="4"/>
  <c r="C16" i="4"/>
  <c r="Q16" i="4"/>
  <c r="I16" i="4"/>
  <c r="BV16" i="4"/>
  <c r="N16" i="4"/>
  <c r="BP16" i="4"/>
  <c r="AP16" i="4"/>
  <c r="K16" i="4"/>
  <c r="AO16" i="4"/>
  <c r="P16" i="4"/>
  <c r="G16" i="4"/>
  <c r="BC16" i="4"/>
  <c r="AG16" i="4"/>
  <c r="AF16" i="4"/>
  <c r="AJ16" i="4"/>
  <c r="AA16" i="4"/>
  <c r="Y16" i="4"/>
  <c r="BS16" i="4"/>
  <c r="AY16" i="4"/>
  <c r="BR16" i="4"/>
  <c r="J16" i="4"/>
  <c r="U16" i="4"/>
  <c r="E16" i="4"/>
  <c r="O16" i="4"/>
  <c r="AL16" i="4"/>
  <c r="L16" i="4"/>
  <c r="AD16" i="4"/>
  <c r="F16" i="4"/>
  <c r="A16" i="4"/>
  <c r="BU16" i="4"/>
  <c r="T16" i="4"/>
  <c r="AI16" i="4"/>
  <c r="M16" i="4"/>
  <c r="AM16" i="4"/>
  <c r="D16" i="4"/>
  <c r="Z16" i="4"/>
  <c r="AC16" i="4"/>
  <c r="R16" i="4"/>
  <c r="AQ16" i="4"/>
  <c r="BQ16" i="4"/>
  <c r="H19" i="4"/>
  <c r="C18" i="4"/>
  <c r="H24" i="4"/>
  <c r="H25" i="4"/>
  <c r="E24" i="4"/>
  <c r="H23" i="4"/>
  <c r="A18" i="4"/>
  <c r="E18" i="4"/>
  <c r="H20" i="4"/>
  <c r="H21" i="4"/>
  <c r="I18" i="4"/>
  <c r="D18" i="4"/>
  <c r="F18" i="4"/>
  <c r="F18" i="3"/>
  <c r="E18" i="3"/>
  <c r="D55" i="4"/>
  <c r="AV55" i="4"/>
  <c r="J55" i="4"/>
  <c r="AX55" i="4"/>
  <c r="BQ55" i="4"/>
  <c r="AY55" i="4"/>
  <c r="AT55" i="4"/>
  <c r="Y55" i="4"/>
  <c r="T55" i="4"/>
  <c r="F55" i="4"/>
  <c r="E55" i="4"/>
  <c r="AA55" i="4"/>
  <c r="R55" i="4"/>
  <c r="BV55" i="4"/>
  <c r="BS55" i="4"/>
  <c r="O55" i="4"/>
  <c r="Q55" i="4"/>
  <c r="AP55" i="4"/>
  <c r="BP55" i="4"/>
  <c r="AD55" i="4"/>
  <c r="BT55" i="4"/>
  <c r="AZ55" i="4"/>
  <c r="I55" i="4"/>
  <c r="BR55" i="4"/>
  <c r="G55" i="4"/>
  <c r="L55" i="4"/>
  <c r="N55" i="4"/>
  <c r="M55" i="4"/>
  <c r="P55" i="4"/>
  <c r="A55" i="4"/>
  <c r="BC55" i="4"/>
  <c r="S55" i="4"/>
  <c r="BU55" i="4"/>
  <c r="C55" i="4"/>
  <c r="AG55" i="4"/>
  <c r="D54" i="4"/>
  <c r="G54" i="4"/>
  <c r="O54" i="4"/>
  <c r="T54" i="4"/>
  <c r="A54" i="4"/>
  <c r="AP54" i="4"/>
  <c r="BU54" i="4"/>
  <c r="AD54" i="4"/>
  <c r="BQ54" i="4"/>
  <c r="S54" i="4"/>
  <c r="AZ54" i="4"/>
  <c r="Q54" i="4"/>
  <c r="BT54" i="4"/>
  <c r="N54" i="4"/>
  <c r="AT54" i="4"/>
  <c r="F54" i="4"/>
  <c r="J54" i="4"/>
  <c r="BC54" i="4"/>
  <c r="BP54" i="4"/>
  <c r="BR54" i="4"/>
  <c r="AA54" i="4"/>
  <c r="BV54" i="4"/>
  <c r="P54" i="4"/>
  <c r="C54" i="4"/>
  <c r="AX54" i="4"/>
  <c r="I54" i="4"/>
  <c r="R54" i="4"/>
  <c r="L54" i="4"/>
  <c r="AV54" i="4"/>
  <c r="AY54" i="4"/>
  <c r="BS54" i="4"/>
  <c r="M54" i="4"/>
  <c r="Y54" i="4"/>
  <c r="AG54" i="4"/>
  <c r="E54" i="4"/>
  <c r="N53" i="4"/>
  <c r="AA53" i="4"/>
  <c r="AV53" i="4"/>
  <c r="R53" i="4"/>
  <c r="L53" i="4"/>
  <c r="AD53" i="4"/>
  <c r="O53" i="4"/>
  <c r="J53" i="4"/>
  <c r="E53" i="4"/>
  <c r="Q53" i="4"/>
  <c r="D53" i="4"/>
  <c r="AG53" i="4"/>
  <c r="BC53" i="4"/>
  <c r="BT53" i="4"/>
  <c r="G53" i="4"/>
  <c r="C53" i="4"/>
  <c r="BS53" i="4"/>
  <c r="BP53" i="4"/>
  <c r="AX53" i="4"/>
  <c r="AZ53" i="4"/>
  <c r="Y53" i="4"/>
  <c r="BQ53" i="4"/>
  <c r="BR53" i="4"/>
  <c r="M53" i="4"/>
  <c r="BU53" i="4"/>
  <c r="AY53" i="4"/>
  <c r="P53" i="4"/>
  <c r="F53" i="4"/>
  <c r="S53" i="4"/>
  <c r="A53" i="4"/>
  <c r="BV53" i="4"/>
  <c r="AT53" i="4"/>
  <c r="AP53" i="4"/>
  <c r="T53" i="4"/>
  <c r="I53" i="4"/>
  <c r="T56" i="4"/>
  <c r="M56" i="4"/>
  <c r="Y56" i="4"/>
  <c r="BT56" i="4"/>
  <c r="L56" i="4"/>
  <c r="BQ56" i="4"/>
  <c r="D56" i="4"/>
  <c r="BV56" i="4"/>
  <c r="BR56" i="4"/>
  <c r="G56" i="4"/>
  <c r="AX56" i="4"/>
  <c r="BP56" i="4"/>
  <c r="BU56" i="4"/>
  <c r="A56" i="4"/>
  <c r="N56" i="4"/>
  <c r="O56" i="4"/>
  <c r="R56" i="4"/>
  <c r="BC56" i="4"/>
  <c r="Q56" i="4"/>
  <c r="AG56" i="4"/>
  <c r="AP56" i="4"/>
  <c r="J56" i="4"/>
  <c r="BS56" i="4"/>
  <c r="S56" i="4"/>
  <c r="AT56" i="4"/>
  <c r="P56" i="4"/>
  <c r="AY56" i="4"/>
  <c r="E56" i="4"/>
  <c r="F56" i="4"/>
  <c r="AZ56" i="4"/>
  <c r="AV56" i="4"/>
  <c r="AD56" i="4"/>
  <c r="AA56" i="4"/>
  <c r="C56" i="4"/>
  <c r="I56" i="4"/>
  <c r="AX52" i="4"/>
  <c r="AY52" i="4"/>
  <c r="C52" i="4"/>
  <c r="AP52" i="4"/>
  <c r="BC52" i="4"/>
  <c r="BT52" i="4"/>
  <c r="E52" i="4"/>
  <c r="BV52" i="4"/>
  <c r="I52" i="4"/>
  <c r="L52" i="4"/>
  <c r="BQ52" i="4"/>
  <c r="AZ52" i="4"/>
  <c r="AA52" i="4"/>
  <c r="D52" i="4"/>
  <c r="T52" i="4"/>
  <c r="F52" i="4"/>
  <c r="AT52" i="4"/>
  <c r="N52" i="4"/>
  <c r="P52" i="4"/>
  <c r="AV52" i="4"/>
  <c r="BU52" i="4"/>
  <c r="G52" i="4"/>
  <c r="Y52" i="4"/>
  <c r="Q52" i="4"/>
  <c r="AD52" i="4"/>
  <c r="J52" i="4"/>
  <c r="A52" i="4"/>
  <c r="H52" i="4" s="1"/>
  <c r="BR52" i="4"/>
  <c r="BS52" i="4"/>
  <c r="R52" i="4"/>
  <c r="O52" i="4"/>
  <c r="M52" i="4"/>
  <c r="BP52" i="4"/>
  <c r="S52" i="4"/>
  <c r="AG52" i="4"/>
  <c r="AX57" i="4"/>
  <c r="Y57" i="4"/>
  <c r="O57" i="4"/>
  <c r="R57" i="4"/>
  <c r="BU57" i="4"/>
  <c r="L57" i="4"/>
  <c r="AD57" i="4"/>
  <c r="AP57" i="4"/>
  <c r="BT57" i="4"/>
  <c r="G57" i="4"/>
  <c r="D57" i="4"/>
  <c r="T57" i="4"/>
  <c r="J57" i="4"/>
  <c r="BV57" i="4"/>
  <c r="A57" i="4"/>
  <c r="Q57" i="4"/>
  <c r="BQ57" i="4"/>
  <c r="M57" i="4"/>
  <c r="BR57" i="4"/>
  <c r="BP57" i="4"/>
  <c r="AZ57" i="4"/>
  <c r="P57" i="4"/>
  <c r="AV57" i="4"/>
  <c r="I57" i="4"/>
  <c r="AT57" i="4"/>
  <c r="AG57" i="4"/>
  <c r="S57" i="4"/>
  <c r="N57" i="4"/>
  <c r="AA57" i="4"/>
  <c r="E57" i="4"/>
  <c r="BS57" i="4"/>
  <c r="BC57" i="4"/>
  <c r="AY57" i="4"/>
  <c r="C57" i="4"/>
  <c r="F57" i="4"/>
  <c r="H49" i="4"/>
  <c r="BP46" i="4"/>
  <c r="L46" i="4"/>
  <c r="BU46" i="4"/>
  <c r="I46" i="4"/>
  <c r="BC46" i="4"/>
  <c r="AY46" i="4"/>
  <c r="BV46" i="4"/>
  <c r="G46" i="4"/>
  <c r="BR46" i="4"/>
  <c r="Y46" i="4"/>
  <c r="BQ46" i="4"/>
  <c r="O46" i="4"/>
  <c r="M46" i="4"/>
  <c r="P46" i="4"/>
  <c r="C46" i="4"/>
  <c r="AD46" i="4"/>
  <c r="R46" i="4"/>
  <c r="D46" i="4"/>
  <c r="T46" i="4"/>
  <c r="BS46" i="4"/>
  <c r="E46" i="4"/>
  <c r="A46" i="4"/>
  <c r="F46" i="4"/>
  <c r="AG46" i="4"/>
  <c r="Q46" i="4"/>
  <c r="N46" i="4"/>
  <c r="AA46" i="4"/>
  <c r="J46" i="4"/>
  <c r="AP46" i="4"/>
  <c r="A47" i="4"/>
  <c r="Q47" i="4"/>
  <c r="F47" i="4"/>
  <c r="AP47" i="4"/>
  <c r="AY47" i="4"/>
  <c r="BR47" i="4"/>
  <c r="BP47" i="4"/>
  <c r="T47" i="4"/>
  <c r="BV47" i="4"/>
  <c r="P47" i="4"/>
  <c r="D47" i="4"/>
  <c r="AA47" i="4"/>
  <c r="AG47" i="4"/>
  <c r="BS47" i="4"/>
  <c r="C47" i="4"/>
  <c r="BU47" i="4"/>
  <c r="R47" i="4"/>
  <c r="BQ47" i="4"/>
  <c r="N47" i="4"/>
  <c r="BC47" i="4"/>
  <c r="E47" i="4"/>
  <c r="O47" i="4"/>
  <c r="J47" i="4"/>
  <c r="AD47" i="4"/>
  <c r="L47" i="4"/>
  <c r="M47" i="4"/>
  <c r="Y47" i="4"/>
  <c r="I47" i="4"/>
  <c r="G47" i="4"/>
  <c r="AA43" i="4"/>
  <c r="G43" i="4"/>
  <c r="R43" i="4"/>
  <c r="BP43" i="4"/>
  <c r="BQ43" i="4"/>
  <c r="C43" i="4"/>
  <c r="AD43" i="4"/>
  <c r="BV43" i="4"/>
  <c r="A43" i="4"/>
  <c r="J43" i="4"/>
  <c r="O43" i="4"/>
  <c r="BR43" i="4"/>
  <c r="Y43" i="4"/>
  <c r="F43" i="4"/>
  <c r="E43" i="4"/>
  <c r="I43" i="4"/>
  <c r="N43" i="4"/>
  <c r="Q43" i="4"/>
  <c r="P43" i="4"/>
  <c r="AY43" i="4"/>
  <c r="D43" i="4"/>
  <c r="M43" i="4"/>
  <c r="BS43" i="4"/>
  <c r="AP43" i="4"/>
  <c r="BU43" i="4"/>
  <c r="BC43" i="4"/>
  <c r="L43" i="4"/>
  <c r="T43" i="4"/>
  <c r="AG43" i="4"/>
  <c r="BQ2" i="4"/>
  <c r="AG10" i="14"/>
  <c r="E2" i="4"/>
  <c r="Q2" i="4"/>
  <c r="G2" i="4"/>
  <c r="I2" i="4"/>
  <c r="T2" i="4"/>
  <c r="F2" i="4"/>
  <c r="M2" i="4"/>
  <c r="C2" i="4"/>
  <c r="AE2" i="4"/>
  <c r="K2" i="4"/>
  <c r="L2" i="4"/>
  <c r="R2" i="4"/>
  <c r="BU2" i="4"/>
  <c r="AR2" i="4"/>
  <c r="AK2" i="4"/>
  <c r="D2" i="4"/>
  <c r="Y2" i="4"/>
  <c r="P2" i="4"/>
  <c r="AN2" i="4"/>
  <c r="AY2" i="4"/>
  <c r="A2" i="4"/>
  <c r="BP2" i="4"/>
  <c r="J2" i="4"/>
  <c r="BV2" i="4"/>
  <c r="BC2" i="4"/>
  <c r="O2" i="4"/>
  <c r="AH2" i="4"/>
  <c r="N2" i="4"/>
  <c r="BS2" i="4"/>
  <c r="V2" i="4"/>
  <c r="AA10" i="4"/>
  <c r="BU10" i="4"/>
  <c r="AD10" i="4"/>
  <c r="AF10" i="4"/>
  <c r="M10" i="4"/>
  <c r="N10" i="4"/>
  <c r="AC10" i="4"/>
  <c r="E10" i="4"/>
  <c r="T10" i="4"/>
  <c r="AP10" i="4"/>
  <c r="G10" i="4"/>
  <c r="Z10" i="4"/>
  <c r="BV10" i="4"/>
  <c r="AY10" i="4"/>
  <c r="AJ10" i="4"/>
  <c r="D10" i="4"/>
  <c r="AL10" i="4"/>
  <c r="AO10" i="4"/>
  <c r="C10" i="4"/>
  <c r="AQ10" i="4"/>
  <c r="BS10" i="4"/>
  <c r="K10" i="4"/>
  <c r="BR10" i="4"/>
  <c r="Q10" i="4"/>
  <c r="L10" i="4"/>
  <c r="R10" i="4"/>
  <c r="BP10" i="4"/>
  <c r="BQ10" i="4"/>
  <c r="U10" i="4"/>
  <c r="O10" i="4"/>
  <c r="J10" i="4"/>
  <c r="Y10" i="4"/>
  <c r="AG10" i="4"/>
  <c r="AM10" i="4"/>
  <c r="AI10" i="4"/>
  <c r="A10" i="4"/>
  <c r="BC10" i="4"/>
  <c r="I10" i="4"/>
  <c r="F10" i="4"/>
  <c r="B51" i="4"/>
  <c r="T26" i="4"/>
  <c r="BT26" i="4"/>
  <c r="M26" i="4"/>
  <c r="BH26" i="4"/>
  <c r="BO26" i="4"/>
  <c r="O26" i="4"/>
  <c r="BB26" i="4"/>
  <c r="AD26" i="4"/>
  <c r="AQ26" i="4"/>
  <c r="AT26" i="4"/>
  <c r="BI26" i="4"/>
  <c r="J26" i="4"/>
  <c r="BD26" i="4"/>
  <c r="AZ26" i="4"/>
  <c r="BS26" i="4"/>
  <c r="BF26" i="4"/>
  <c r="AS26" i="4"/>
  <c r="N26" i="4"/>
  <c r="BK26" i="4"/>
  <c r="I26" i="4"/>
  <c r="AW26" i="4"/>
  <c r="R26" i="4"/>
  <c r="C26" i="4"/>
  <c r="K26" i="4"/>
  <c r="BE26" i="4"/>
  <c r="S26" i="4"/>
  <c r="AY26" i="4"/>
  <c r="U26" i="4"/>
  <c r="AJ26" i="4"/>
  <c r="BC26" i="4"/>
  <c r="BL26" i="4"/>
  <c r="BU26" i="4"/>
  <c r="P26" i="4"/>
  <c r="BA26" i="4"/>
  <c r="E26" i="4"/>
  <c r="F26" i="4"/>
  <c r="BQ26" i="4"/>
  <c r="BG26" i="4"/>
  <c r="BJ26" i="4"/>
  <c r="AA26" i="4"/>
  <c r="A26" i="4"/>
  <c r="L26" i="4"/>
  <c r="BV26" i="4"/>
  <c r="AX26" i="4"/>
  <c r="BR26" i="4"/>
  <c r="D26" i="4"/>
  <c r="AG26" i="4"/>
  <c r="AP26" i="4"/>
  <c r="BP26" i="4"/>
  <c r="BN26" i="4"/>
  <c r="Q26" i="4"/>
  <c r="BM26" i="4"/>
  <c r="AV26" i="4"/>
  <c r="Y26" i="4"/>
  <c r="G26" i="4"/>
  <c r="AT27" i="4"/>
  <c r="R27" i="4"/>
  <c r="BJ27" i="4"/>
  <c r="BE27" i="4"/>
  <c r="M27" i="4"/>
  <c r="AQ27" i="4"/>
  <c r="BH27" i="4"/>
  <c r="BL27" i="4"/>
  <c r="BQ27" i="4"/>
  <c r="Q27" i="4"/>
  <c r="BM27" i="4"/>
  <c r="K27" i="4"/>
  <c r="P27" i="4"/>
  <c r="T27" i="4"/>
  <c r="AS27" i="4"/>
  <c r="AY27" i="4"/>
  <c r="BN27" i="4"/>
  <c r="AJ27" i="4"/>
  <c r="N27" i="4"/>
  <c r="AW27" i="4"/>
  <c r="J27" i="4"/>
  <c r="BT27" i="4"/>
  <c r="AA27" i="4"/>
  <c r="BS27" i="4"/>
  <c r="AG27" i="4"/>
  <c r="G27" i="4"/>
  <c r="Y27" i="4"/>
  <c r="BR27" i="4"/>
  <c r="BP27" i="4"/>
  <c r="O27" i="4"/>
  <c r="A27" i="4"/>
  <c r="E27" i="4"/>
  <c r="BO27" i="4"/>
  <c r="BC27" i="4"/>
  <c r="S27" i="4"/>
  <c r="BK27" i="4"/>
  <c r="AD27" i="4"/>
  <c r="BD27" i="4"/>
  <c r="I27" i="4"/>
  <c r="BU27" i="4"/>
  <c r="BI27" i="4"/>
  <c r="D27" i="4"/>
  <c r="AX27" i="4"/>
  <c r="U27" i="4"/>
  <c r="L27" i="4"/>
  <c r="AP27" i="4"/>
  <c r="AV27" i="4"/>
  <c r="BA27" i="4"/>
  <c r="BG27" i="4"/>
  <c r="C27" i="4"/>
  <c r="AZ27" i="4"/>
  <c r="F27" i="4"/>
  <c r="BB27" i="4"/>
  <c r="BF27" i="4"/>
  <c r="BV27" i="4"/>
  <c r="I31" i="4"/>
  <c r="K31" i="4"/>
  <c r="BJ31" i="4"/>
  <c r="G31" i="4"/>
  <c r="R31" i="4"/>
  <c r="AS31" i="4"/>
  <c r="BL31" i="4"/>
  <c r="E31" i="4"/>
  <c r="BE31" i="4"/>
  <c r="BB31" i="4"/>
  <c r="AA31" i="4"/>
  <c r="BD31" i="4"/>
  <c r="BR31" i="4"/>
  <c r="BA31" i="4"/>
  <c r="AT31" i="4"/>
  <c r="F31" i="4"/>
  <c r="BG31" i="4"/>
  <c r="BT31" i="4"/>
  <c r="BP31" i="4"/>
  <c r="N31" i="4"/>
  <c r="P31" i="4"/>
  <c r="BV31" i="4"/>
  <c r="BI31" i="4"/>
  <c r="AJ31" i="4"/>
  <c r="AY31" i="4"/>
  <c r="AD31" i="4"/>
  <c r="BH31" i="4"/>
  <c r="BF31" i="4"/>
  <c r="AQ31" i="4"/>
  <c r="S31" i="4"/>
  <c r="BO31" i="4"/>
  <c r="BK31" i="4"/>
  <c r="AX31" i="4"/>
  <c r="AP31" i="4"/>
  <c r="BS31" i="4"/>
  <c r="BQ31" i="4"/>
  <c r="AW31" i="4"/>
  <c r="BU31" i="4"/>
  <c r="L31" i="4"/>
  <c r="Q31" i="4"/>
  <c r="M31" i="4"/>
  <c r="J31" i="4"/>
  <c r="BN31" i="4"/>
  <c r="O31" i="4"/>
  <c r="T31" i="4"/>
  <c r="BC31" i="4"/>
  <c r="AV31" i="4"/>
  <c r="BM31" i="4"/>
  <c r="A31" i="4"/>
  <c r="U31" i="4"/>
  <c r="D31" i="4"/>
  <c r="AZ31" i="4"/>
  <c r="C31" i="4"/>
  <c r="H31" i="4" s="1"/>
  <c r="Y31" i="4"/>
  <c r="AG31" i="4"/>
  <c r="BQ30" i="4"/>
  <c r="AZ30" i="4"/>
  <c r="C30" i="4"/>
  <c r="BI30" i="4"/>
  <c r="BT30" i="4"/>
  <c r="T30" i="4"/>
  <c r="AG30" i="4"/>
  <c r="BE30" i="4"/>
  <c r="G30" i="4"/>
  <c r="AX30" i="4"/>
  <c r="I30" i="4"/>
  <c r="AY30" i="4"/>
  <c r="S30" i="4"/>
  <c r="P30" i="4"/>
  <c r="AV30" i="4"/>
  <c r="BA30" i="4"/>
  <c r="BS30" i="4"/>
  <c r="Q30" i="4"/>
  <c r="O30" i="4"/>
  <c r="N30" i="4"/>
  <c r="BC30" i="4"/>
  <c r="F30" i="4"/>
  <c r="BF30" i="4"/>
  <c r="BO30" i="4"/>
  <c r="BK30" i="4"/>
  <c r="J30" i="4"/>
  <c r="A30" i="4"/>
  <c r="H30" i="4" s="1"/>
  <c r="BV30" i="4"/>
  <c r="D30" i="4"/>
  <c r="AW30" i="4"/>
  <c r="AS30" i="4"/>
  <c r="AQ30" i="4"/>
  <c r="E30" i="4"/>
  <c r="R30" i="4"/>
  <c r="K30" i="4"/>
  <c r="BG30" i="4"/>
  <c r="BR30" i="4"/>
  <c r="BM30" i="4"/>
  <c r="BN30" i="4"/>
  <c r="AA30" i="4"/>
  <c r="BB30" i="4"/>
  <c r="L30" i="4"/>
  <c r="BH30" i="4"/>
  <c r="AJ30" i="4"/>
  <c r="BD30" i="4"/>
  <c r="BU30" i="4"/>
  <c r="AP30" i="4"/>
  <c r="U30" i="4"/>
  <c r="BP30" i="4"/>
  <c r="AT30" i="4"/>
  <c r="BL30" i="4"/>
  <c r="AD30" i="4"/>
  <c r="Y30" i="4"/>
  <c r="BJ30" i="4"/>
  <c r="M30" i="4"/>
  <c r="P50" i="4" l="1"/>
  <c r="A50" i="4"/>
  <c r="Y50" i="4"/>
  <c r="AP50" i="4"/>
  <c r="R50" i="4"/>
  <c r="I50" i="4"/>
  <c r="Q50" i="4"/>
  <c r="AA50" i="4"/>
  <c r="O50" i="4"/>
  <c r="AD50" i="4"/>
  <c r="M50" i="4"/>
  <c r="BP50" i="4"/>
  <c r="F50" i="4"/>
  <c r="AT50" i="4"/>
  <c r="G50" i="4"/>
  <c r="J50" i="4"/>
  <c r="AY50" i="4"/>
  <c r="BU50" i="4"/>
  <c r="N50" i="4"/>
  <c r="S50" i="4"/>
  <c r="AG50" i="4"/>
  <c r="AV50" i="4"/>
  <c r="D50" i="4"/>
  <c r="BS50" i="4"/>
  <c r="C50" i="4"/>
  <c r="H50" i="4" s="1"/>
  <c r="BT50" i="4"/>
  <c r="L50" i="4"/>
  <c r="AX50" i="4"/>
  <c r="E50" i="4"/>
  <c r="AZ50" i="4"/>
  <c r="BC50" i="4"/>
  <c r="BQ50" i="4"/>
  <c r="H56" i="4"/>
  <c r="BR50" i="4"/>
  <c r="BV50" i="4"/>
  <c r="H47" i="4"/>
  <c r="C16" i="3"/>
  <c r="D16" i="3"/>
  <c r="F16" i="3"/>
  <c r="H46" i="4"/>
  <c r="H55" i="4"/>
  <c r="E16" i="3"/>
  <c r="H27" i="4"/>
  <c r="H16" i="4"/>
  <c r="E15" i="3"/>
  <c r="H11" i="4"/>
  <c r="H10" i="4"/>
  <c r="H15" i="4"/>
  <c r="H12" i="4"/>
  <c r="H17" i="4"/>
  <c r="F15" i="3"/>
  <c r="C15" i="3"/>
  <c r="D15" i="3"/>
  <c r="H18" i="4"/>
  <c r="H53" i="4"/>
  <c r="H54" i="4"/>
  <c r="H57" i="4"/>
  <c r="H43" i="4"/>
  <c r="H2" i="4"/>
  <c r="AT51" i="4"/>
  <c r="BQ51" i="4"/>
  <c r="BV51" i="4"/>
  <c r="P51" i="4"/>
  <c r="BP51" i="4"/>
  <c r="AD51" i="4"/>
  <c r="AX51" i="4"/>
  <c r="R51" i="4"/>
  <c r="D51" i="4"/>
  <c r="AZ51" i="4"/>
  <c r="J51" i="4"/>
  <c r="BT51" i="4"/>
  <c r="O51" i="4"/>
  <c r="T51" i="4"/>
  <c r="C20" i="3" s="1"/>
  <c r="F51" i="4"/>
  <c r="I51" i="4"/>
  <c r="AP51" i="4"/>
  <c r="AY51" i="4"/>
  <c r="AA51" i="4"/>
  <c r="E51" i="4"/>
  <c r="BU51" i="4"/>
  <c r="N51" i="4"/>
  <c r="BR51" i="4"/>
  <c r="BC51" i="4"/>
  <c r="Y51" i="4"/>
  <c r="Q51" i="4"/>
  <c r="L51" i="4"/>
  <c r="S51" i="4"/>
  <c r="AG51" i="4"/>
  <c r="M51" i="4"/>
  <c r="G51" i="4"/>
  <c r="C51" i="4"/>
  <c r="AV51" i="4"/>
  <c r="BS51" i="4"/>
  <c r="A51" i="4"/>
  <c r="H26" i="4"/>
  <c r="F17" i="3"/>
  <c r="D17" i="3"/>
  <c r="E17" i="3"/>
  <c r="C17" i="3"/>
  <c r="E20" i="3" l="1"/>
  <c r="D20" i="3"/>
  <c r="F20" i="3"/>
  <c r="H51" i="4"/>
  <c r="Y8" i="20" l="1"/>
  <c r="V8" i="20" l="1"/>
  <c r="X8" i="20" s="1"/>
  <c r="AC8" i="20"/>
  <c r="AC17" i="20" s="1"/>
  <c r="D21" i="3" s="1"/>
  <c r="AD8" i="20" l="1"/>
  <c r="AF8" i="20" s="1"/>
  <c r="AF17" i="20" s="1"/>
  <c r="F21" i="3" s="1"/>
  <c r="AD17" i="20" l="1"/>
  <c r="E21" i="3" s="1"/>
  <c r="AG11" i="12" l="1"/>
  <c r="B42" i="4" l="1"/>
  <c r="D42" i="4" s="1"/>
  <c r="AF11" i="12"/>
  <c r="L42" i="4" l="1"/>
  <c r="AD42" i="4"/>
  <c r="E42" i="4"/>
  <c r="BV42" i="4"/>
  <c r="F19" i="3" s="1"/>
  <c r="D12" i="3" s="1"/>
  <c r="Q42" i="4"/>
  <c r="BQ42" i="4"/>
  <c r="P42" i="4"/>
  <c r="BU42" i="4"/>
  <c r="E19" i="3" s="1"/>
  <c r="D10" i="3" s="1"/>
  <c r="AA42" i="4"/>
  <c r="BP42" i="4"/>
  <c r="A42" i="4"/>
  <c r="BC42" i="4"/>
  <c r="N42" i="4"/>
  <c r="BS42" i="4"/>
  <c r="G42" i="4"/>
  <c r="Y42" i="4"/>
  <c r="M42" i="4"/>
  <c r="BR42" i="4"/>
  <c r="D19" i="3" s="1"/>
  <c r="D11" i="3" s="1"/>
  <c r="R42" i="4"/>
  <c r="T42" i="4"/>
  <c r="C19" i="3" s="1"/>
  <c r="AP42" i="4"/>
  <c r="J42" i="4"/>
  <c r="AG42" i="4"/>
  <c r="C42" i="4"/>
  <c r="H42" i="4" s="1"/>
  <c r="AY42" i="4"/>
  <c r="I42" i="4"/>
  <c r="F42" i="4"/>
  <c r="O4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C. Hall</author>
  </authors>
  <commentList>
    <comment ref="B7" authorId="0" shapeId="0" xr:uid="{00000000-0006-0000-0100-000001000000}">
      <text>
        <r>
          <rPr>
            <sz val="9"/>
            <color indexed="81"/>
            <rFont val="Tahoma"/>
            <family val="2"/>
          </rPr>
          <t>For internal use.
The applicant may leave this field blank.</t>
        </r>
      </text>
    </comment>
    <comment ref="B8" authorId="0" shapeId="0" xr:uid="{00000000-0006-0000-0100-000002000000}">
      <text>
        <r>
          <rPr>
            <sz val="9"/>
            <color indexed="81"/>
            <rFont val="Tahoma"/>
            <family val="2"/>
          </rPr>
          <t>For internal use.
The applicant may leave this field blank.</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Sara Aaserud</author>
  </authors>
  <commentList>
    <comment ref="V6" authorId="0" shapeId="0" xr:uid="{7C4CCC65-6C52-449B-8FB5-67341340531F}">
      <text>
        <r>
          <rPr>
            <b/>
            <sz val="9"/>
            <color indexed="81"/>
            <rFont val="Tahoma"/>
            <family val="2"/>
          </rPr>
          <t>Sara Aaserud:</t>
        </r>
        <r>
          <rPr>
            <sz val="9"/>
            <color indexed="81"/>
            <rFont val="Tahoma"/>
            <family val="2"/>
          </rPr>
          <t xml:space="preserve">
converts the central AC EFLH to room AC EFLH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Ashley Faircloth</author>
  </authors>
  <commentList>
    <comment ref="S7" authorId="0" shapeId="0" xr:uid="{FEA88A52-9CE4-4ECF-AF1C-A2DCD4663F7D}">
      <text>
        <r>
          <rPr>
            <sz val="9"/>
            <color indexed="81"/>
            <rFont val="Tahoma"/>
            <family val="2"/>
          </rPr>
          <t xml:space="preserve">If unavailable, leave blank
</t>
        </r>
      </text>
    </comment>
    <comment ref="T8" authorId="0" shapeId="0" xr:uid="{D36B4BFB-70B9-4159-B704-DD4FE628337B}">
      <text>
        <r>
          <rPr>
            <sz val="9"/>
            <color indexed="81"/>
            <rFont val="Tahoma"/>
            <family val="2"/>
          </rPr>
          <t xml:space="preserve">If unavailable, leave blank
</t>
        </r>
      </text>
    </comment>
    <comment ref="U8" authorId="0" shapeId="0" xr:uid="{6D25E637-C78E-454B-AD50-8B1750A7B5A5}">
      <text>
        <r>
          <rPr>
            <sz val="9"/>
            <color indexed="81"/>
            <rFont val="Tahoma"/>
            <family val="2"/>
          </rPr>
          <t>If unavailable, leave blank</t>
        </r>
      </text>
    </comment>
    <comment ref="V8" authorId="0" shapeId="0" xr:uid="{D299C07E-F8BD-4386-BCDA-484BA807268D}">
      <text>
        <r>
          <rPr>
            <sz val="9"/>
            <color indexed="81"/>
            <rFont val="Tahoma"/>
            <family val="2"/>
          </rPr>
          <t>If unavailable, leave blank</t>
        </r>
      </text>
    </comment>
    <comment ref="W8" authorId="0" shapeId="0" xr:uid="{83075EFA-1E87-4EC0-819A-62786E4E481E}">
      <text>
        <r>
          <rPr>
            <sz val="9"/>
            <color indexed="81"/>
            <rFont val="Tahoma"/>
            <family val="2"/>
          </rPr>
          <t>If unavailable, leave blank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James C. Hall</author>
  </authors>
  <commentList>
    <comment ref="H8" authorId="0" shapeId="0" xr:uid="{00000000-0006-0000-0200-000001000000}">
      <text>
        <r>
          <rPr>
            <sz val="9"/>
            <color indexed="81"/>
            <rFont val="Tahoma"/>
            <family val="2"/>
          </rPr>
          <t xml:space="preserve">The baseline efficiencies for new chillers replacing old ones over 20 years old will default to baseline efficiencies as defined by IECC 2009.
</t>
        </r>
      </text>
    </comment>
    <comment ref="O8" authorId="0" shapeId="0" xr:uid="{00000000-0006-0000-0200-000002000000}">
      <text>
        <r>
          <rPr>
            <sz val="9"/>
            <color indexed="81"/>
            <rFont val="Tahoma"/>
            <family val="2"/>
          </rPr>
          <t>Select "Part Load" if the new chiller operates below 70% load the majority of the time. Select "Full Load" if the chiller operates above 70% load the majority of the time. 
[IECC 2009 refers to this as Path A and Path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James C. Hall</author>
  </authors>
  <commentList>
    <comment ref="H7" authorId="0" shapeId="0" xr:uid="{00000000-0006-0000-0300-000001000000}">
      <text>
        <r>
          <rPr>
            <sz val="9"/>
            <color indexed="81"/>
            <rFont val="Tahoma"/>
            <family val="2"/>
          </rPr>
          <t xml:space="preserve">The baseline efficiencies for new chillers replacing old ones over 20 years old will default to baseline efficiencies as defined by IECC 2009.
</t>
        </r>
      </text>
    </comment>
    <comment ref="P7" authorId="0" shapeId="0" xr:uid="{00000000-0006-0000-0300-000002000000}">
      <text>
        <r>
          <rPr>
            <sz val="9"/>
            <color indexed="81"/>
            <rFont val="Tahoma"/>
            <family val="2"/>
          </rPr>
          <t>Select "Part Load" if the new chiller operates below 70% load the majority of the time. Select "Full Load" if the chiller operates above 70% load the majority of the time. 
[IECC 2009 refers to this as Path A and Path B.]</t>
        </r>
      </text>
    </comment>
    <comment ref="O8" authorId="0" shapeId="0" xr:uid="{00000000-0006-0000-0300-000003000000}">
      <text>
        <r>
          <rPr>
            <sz val="9"/>
            <color indexed="81"/>
            <rFont val="Tahoma"/>
            <family val="2"/>
          </rPr>
          <t xml:space="preserve">Enter the unit ID of the chiller (e.g., CH-1, A1, etc.).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James C. Hall</author>
    <author>tc={2C65B70B-BBC5-4C85-89B5-E0C66D8829EB}</author>
    <author>Sara Aaserud</author>
  </authors>
  <commentList>
    <comment ref="H7" authorId="0" shapeId="0" xr:uid="{00000000-0006-0000-0400-000001000000}">
      <text>
        <r>
          <rPr>
            <sz val="9"/>
            <color indexed="81"/>
            <rFont val="Tahoma"/>
            <family val="2"/>
          </rPr>
          <t xml:space="preserve">The baseline efficiencies for new HVAC units replacing units over 15 years old will default to baseline efficiencies as defined by IECC 2015.
</t>
        </r>
      </text>
    </comment>
    <comment ref="I7" authorId="0" shapeId="0" xr:uid="{00000000-0006-0000-0400-000002000000}">
      <text>
        <r>
          <rPr>
            <sz val="9"/>
            <color indexed="81"/>
            <rFont val="Tahoma"/>
            <family val="2"/>
          </rPr>
          <t>If the system is being replaced and the cooling capacity is 65,000 Btu/h or less, enter SEER of the existing system if known.</t>
        </r>
      </text>
    </comment>
    <comment ref="J7" authorId="0" shapeId="0" xr:uid="{00000000-0006-0000-0400-000003000000}">
      <text>
        <r>
          <rPr>
            <sz val="9"/>
            <color indexed="81"/>
            <rFont val="Tahoma"/>
            <family val="2"/>
          </rPr>
          <t>If the system is being replaced and the cooling capacity greater than 65,000 Btu/h, enter EER of the existing system if known.</t>
        </r>
      </text>
    </comment>
    <comment ref="K7" authorId="0" shapeId="0" xr:uid="{00000000-0006-0000-0400-000004000000}">
      <text>
        <r>
          <rPr>
            <sz val="9"/>
            <color indexed="81"/>
            <rFont val="Tahoma"/>
            <family val="2"/>
          </rPr>
          <t xml:space="preserve">If an existing system is being replaced, enter IEER if known.
</t>
        </r>
      </text>
    </comment>
    <comment ref="R7" authorId="0" shapeId="0" xr:uid="{00000000-0006-0000-0400-000005000000}">
      <text>
        <r>
          <rPr>
            <sz val="9"/>
            <color indexed="81"/>
            <rFont val="Tahoma"/>
            <family val="2"/>
          </rPr>
          <t xml:space="preserve">Enter the ID or location of the HVAC unit (e.g., RTU-2A, Front Office, etc.)
</t>
        </r>
      </text>
    </comment>
    <comment ref="Z7" authorId="0" shapeId="0" xr:uid="{00000000-0006-0000-0400-000006000000}">
      <text>
        <r>
          <rPr>
            <sz val="9"/>
            <color indexed="81"/>
            <rFont val="Tahoma"/>
            <family val="2"/>
          </rPr>
          <t>If the cooling capacity is 65,000 Btu/h, enter the IEER of the system.</t>
        </r>
      </text>
    </comment>
    <comment ref="AF7" authorId="0" shapeId="0" xr:uid="{00000000-0006-0000-0400-000007000000}">
      <text>
        <r>
          <rPr>
            <sz val="9"/>
            <color indexed="81"/>
            <rFont val="Tahoma"/>
            <family val="2"/>
          </rPr>
          <t>Deduct 0.2 from the required EERs and IPLVs for units with a heating section other than electric resistance heat.</t>
        </r>
      </text>
    </comment>
    <comment ref="F27" authorId="1" shapeId="0" xr:uid="{2C65B70B-BBC5-4C85-89B5-E0C66D8829EB}">
      <text>
        <t>[Threaded comment]
Your version of Excel allows you to read this threaded comment; however, any edits to it will get removed if the file is opened in a newer version of Excel. Learn more: https://go.microsoft.com/fwlink/?linkid=870924
Comment:
    The Consumer equipment baseline eff comes from the IMP Guidance 2022-02-12</t>
      </text>
    </comment>
    <comment ref="F29" authorId="2" shapeId="0" xr:uid="{A9D17B11-5CB5-405B-950D-50C0142DFEC6}">
      <text>
        <r>
          <rPr>
            <b/>
            <sz val="9"/>
            <color indexed="81"/>
            <rFont val="Tahoma"/>
            <family val="2"/>
          </rPr>
          <t>Sara Aaserud:</t>
        </r>
        <r>
          <rPr>
            <sz val="9"/>
            <color indexed="81"/>
            <rFont val="Tahoma"/>
            <family val="2"/>
          </rPr>
          <t xml:space="preserve">
&lt; 65,000…convert by multiplying by 11.3/13 per the TRM language</t>
        </r>
      </text>
    </comment>
    <comment ref="F30" authorId="2" shapeId="0" xr:uid="{AA84F861-1892-4897-A03A-B5FF3A4DB754}">
      <text>
        <r>
          <rPr>
            <b/>
            <sz val="9"/>
            <color indexed="81"/>
            <rFont val="Tahoma"/>
            <family val="2"/>
          </rPr>
          <t>Sara Aaserud:</t>
        </r>
        <r>
          <rPr>
            <sz val="9"/>
            <color indexed="81"/>
            <rFont val="Tahoma"/>
            <family val="2"/>
          </rPr>
          <t xml:space="preserve">
&lt; 65,000…convert by multiplying by 11.3/13 per the TRM language</t>
        </r>
      </text>
    </comment>
    <comment ref="F35" authorId="2" shapeId="0" xr:uid="{5EA49B08-632E-4C87-8A02-C5626939F32A}">
      <text>
        <r>
          <rPr>
            <b/>
            <sz val="9"/>
            <color indexed="81"/>
            <rFont val="Tahoma"/>
            <family val="2"/>
          </rPr>
          <t>Sara Aaserud:</t>
        </r>
        <r>
          <rPr>
            <sz val="9"/>
            <color indexed="81"/>
            <rFont val="Tahoma"/>
            <family val="2"/>
          </rPr>
          <t xml:space="preserve">
&lt; 65,000…convert by multiplying by 11.3/13 per the TRM language</t>
        </r>
      </text>
    </comment>
    <comment ref="F36" authorId="2" shapeId="0" xr:uid="{67F58855-7E8A-43DD-80A1-0F1F2AA26AD4}">
      <text>
        <r>
          <rPr>
            <b/>
            <sz val="9"/>
            <color indexed="81"/>
            <rFont val="Tahoma"/>
            <family val="2"/>
          </rPr>
          <t>Sara Aaserud:</t>
        </r>
        <r>
          <rPr>
            <sz val="9"/>
            <color indexed="81"/>
            <rFont val="Tahoma"/>
            <family val="2"/>
          </rPr>
          <t xml:space="preserve">
&lt; 65,000…convert by multiplying by 11.3/13 per the TRM language</t>
        </r>
      </text>
    </comment>
    <comment ref="F65" authorId="2" shapeId="0" xr:uid="{1FCB456F-8C4E-4B49-80E5-B15581A995C7}">
      <text>
        <r>
          <rPr>
            <b/>
            <sz val="9"/>
            <color indexed="81"/>
            <rFont val="Tahoma"/>
            <family val="2"/>
          </rPr>
          <t>Sara Aaserud:</t>
        </r>
        <r>
          <rPr>
            <sz val="9"/>
            <color indexed="81"/>
            <rFont val="Tahoma"/>
            <family val="2"/>
          </rPr>
          <t xml:space="preserve">
&lt; 65,000…convert by multiplying by 11.3/13 per the TRM language</t>
        </r>
      </text>
    </comment>
    <comment ref="F66" authorId="2" shapeId="0" xr:uid="{077B5C6A-BD35-49BD-9898-8822F231AC2C}">
      <text>
        <r>
          <rPr>
            <b/>
            <sz val="9"/>
            <color indexed="81"/>
            <rFont val="Tahoma"/>
            <family val="2"/>
          </rPr>
          <t>Sara Aaserud:</t>
        </r>
        <r>
          <rPr>
            <sz val="9"/>
            <color indexed="81"/>
            <rFont val="Tahoma"/>
            <family val="2"/>
          </rPr>
          <t xml:space="preserve">
&lt; 65,000…convert by multiplying by 11.3/13 per the TRM language</t>
        </r>
      </text>
    </comment>
    <comment ref="F71" authorId="2" shapeId="0" xr:uid="{9DCE918D-9320-4265-B7F0-17B19EF33794}">
      <text>
        <r>
          <rPr>
            <b/>
            <sz val="9"/>
            <color indexed="81"/>
            <rFont val="Tahoma"/>
            <family val="2"/>
          </rPr>
          <t>Sara Aaserud:</t>
        </r>
        <r>
          <rPr>
            <sz val="9"/>
            <color indexed="81"/>
            <rFont val="Tahoma"/>
            <family val="2"/>
          </rPr>
          <t xml:space="preserve">
&lt; 65,000…convert by multiplying by 11.3/13 per the TRM language</t>
        </r>
      </text>
    </comment>
    <comment ref="F72" authorId="2" shapeId="0" xr:uid="{50249423-93B0-45B8-9917-8A9605E57DA6}">
      <text>
        <r>
          <rPr>
            <b/>
            <sz val="9"/>
            <color indexed="81"/>
            <rFont val="Tahoma"/>
            <family val="2"/>
          </rPr>
          <t>Sara Aaserud:</t>
        </r>
        <r>
          <rPr>
            <sz val="9"/>
            <color indexed="81"/>
            <rFont val="Tahoma"/>
            <family val="2"/>
          </rPr>
          <t xml:space="preserve">
&lt; 65,000…convert by multiplying by 11.3/13 per the TRM language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James C. Hall</author>
  </authors>
  <commentList>
    <comment ref="H7" authorId="0" shapeId="0" xr:uid="{B6F6BC5D-3B39-4513-9BC7-D6EC0B3892B9}">
      <text>
        <r>
          <rPr>
            <sz val="9"/>
            <color indexed="81"/>
            <rFont val="Tahoma"/>
            <family val="2"/>
          </rPr>
          <t xml:space="preserve">The baseline efficiencies for new HVAC units replacing units over 15 years old will default to baseline efficiencies as defined by IECC 2015.
</t>
        </r>
      </text>
    </comment>
    <comment ref="I7" authorId="0" shapeId="0" xr:uid="{0F63D567-9C88-4C1F-BE43-EBDD65E3FF59}">
      <text>
        <r>
          <rPr>
            <sz val="9"/>
            <color indexed="81"/>
            <rFont val="Tahoma"/>
            <family val="2"/>
          </rPr>
          <t>If the system is being replaced and the cooling capacity is 65,000 Btu/h or less, enter SEER of the existing system if known.</t>
        </r>
      </text>
    </comment>
    <comment ref="J7" authorId="0" shapeId="0" xr:uid="{EE05CCB8-7F8B-49D1-835C-ACA84DEF5018}">
      <text>
        <r>
          <rPr>
            <sz val="9"/>
            <color indexed="81"/>
            <rFont val="Tahoma"/>
            <family val="2"/>
          </rPr>
          <t>If the system is being replaced and the cooling capacity greater than 65,000 Btu/h, enter EER of the existing system if known.</t>
        </r>
      </text>
    </comment>
    <comment ref="K7" authorId="0" shapeId="0" xr:uid="{EA1E5CED-C658-4705-9FCC-6329D019B453}">
      <text>
        <r>
          <rPr>
            <sz val="9"/>
            <color indexed="81"/>
            <rFont val="Tahoma"/>
            <family val="2"/>
          </rPr>
          <t xml:space="preserve">If an existing system is being replaced, enter IEER if known.
</t>
        </r>
      </text>
    </comment>
    <comment ref="L7" authorId="0" shapeId="0" xr:uid="{41BDE2B0-71E9-4EC5-9802-6E2F91DD3E95}">
      <text>
        <r>
          <rPr>
            <sz val="9"/>
            <color indexed="81"/>
            <rFont val="Tahoma"/>
            <family val="2"/>
          </rPr>
          <t>If the system is being replaced and the heating capacity is 65,000 Btu/h or less, enter HSPF of the existing system if known.</t>
        </r>
      </text>
    </comment>
    <comment ref="M7" authorId="0" shapeId="0" xr:uid="{BD008BD0-29FF-48FE-96C6-73898853C832}">
      <text>
        <r>
          <rPr>
            <sz val="9"/>
            <color indexed="81"/>
            <rFont val="Tahoma"/>
            <family val="2"/>
          </rPr>
          <t xml:space="preserve">If an existing system is being replaced, enter COP if known.
</t>
        </r>
      </text>
    </comment>
    <comment ref="S7" authorId="0" shapeId="0" xr:uid="{ED42C778-458A-41FA-B0EC-F24F6A3D04F2}">
      <text>
        <r>
          <rPr>
            <sz val="9"/>
            <color indexed="81"/>
            <rFont val="Tahoma"/>
            <family val="2"/>
          </rPr>
          <t xml:space="preserve">Enter the ID or location of the HVAC unit (e.g., RTU-2A, Front Office, etc.)
</t>
        </r>
      </text>
    </comment>
    <comment ref="AO7" authorId="0" shapeId="0" xr:uid="{F0ADF1FD-3EA1-4A8E-896C-4E8556B3B377}">
      <text>
        <r>
          <rPr>
            <sz val="9"/>
            <color indexed="81"/>
            <rFont val="Tahoma"/>
            <family val="2"/>
          </rPr>
          <t>REMOVED: Deduct 0.2 from the required EERs and IPLVs for units with a heating section other than electric resistance heat.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James C. Hall</author>
    <author>Sara Aaserud</author>
  </authors>
  <commentList>
    <comment ref="H8" authorId="0" shapeId="0" xr:uid="{00000000-0006-0000-0600-000001000000}">
      <text>
        <r>
          <rPr>
            <sz val="9"/>
            <color indexed="81"/>
            <rFont val="Tahoma"/>
            <family val="2"/>
          </rPr>
          <t xml:space="preserve">The baseline efficiencies for new HVAC units replacing units over 15 years old will default to baseline efficiencies as defined by IECC 2015.
</t>
        </r>
      </text>
    </comment>
    <comment ref="J8" authorId="0" shapeId="0" xr:uid="{00000000-0006-0000-0600-000002000000}">
      <text>
        <r>
          <rPr>
            <sz val="9"/>
            <color indexed="81"/>
            <rFont val="Tahoma"/>
            <family val="2"/>
          </rPr>
          <t>If the system is being replaced and the cooling capacity is 65,000 Btu/h or greater, enter EER of the existing system if known.  Enter SEER if the existing system cooling capacity is less than 65,000 Btu/h, if known.</t>
        </r>
      </text>
    </comment>
    <comment ref="K8" authorId="0" shapeId="0" xr:uid="{00000000-0006-0000-0600-000003000000}">
      <text>
        <r>
          <rPr>
            <sz val="9"/>
            <color indexed="81"/>
            <rFont val="Tahoma"/>
            <family val="2"/>
          </rPr>
          <t>If an existing system is being replaced, enter IEER if known.</t>
        </r>
      </text>
    </comment>
    <comment ref="M8" authorId="0" shapeId="0" xr:uid="{00000000-0006-0000-0600-000004000000}">
      <text>
        <r>
          <rPr>
            <sz val="9"/>
            <color indexed="81"/>
            <rFont val="Tahoma"/>
            <family val="2"/>
          </rPr>
          <t>If the system is being replaced, enter the COP of the existing system if known.</t>
        </r>
      </text>
    </comment>
    <comment ref="Z8" authorId="0" shapeId="0" xr:uid="{00000000-0006-0000-0600-000005000000}">
      <text>
        <r>
          <rPr>
            <sz val="9"/>
            <color indexed="81"/>
            <rFont val="Tahoma"/>
            <family val="2"/>
          </rPr>
          <t xml:space="preserve">Enter the ID or location of the HVAC unit (e.g., RTU-2A, Front Office, etc.)
</t>
        </r>
      </text>
    </comment>
    <comment ref="BC8" authorId="0" shapeId="0" xr:uid="{00000000-0006-0000-0600-000006000000}">
      <text>
        <r>
          <rPr>
            <sz val="9"/>
            <color indexed="81"/>
            <rFont val="Tahoma"/>
            <family val="2"/>
          </rPr>
          <t xml:space="preserve">defaulted to 0 because ASHP baselines don't have the adjustment factors.  </t>
        </r>
      </text>
    </comment>
    <comment ref="BI8" authorId="0" shapeId="0" xr:uid="{00000000-0006-0000-0600-000007000000}">
      <text>
        <r>
          <rPr>
            <sz val="9"/>
            <color indexed="81"/>
            <rFont val="Tahoma"/>
            <family val="2"/>
          </rPr>
          <t xml:space="preserve">If new construction, existing unit is older than 15 years, or the existing equipment is other than a water/ground/ground-water source heatpump, then use Air Souce heat pump as the baseline.  Use existing baseline if water/ground/ground-source heat pump less than 15 years old. 
</t>
        </r>
      </text>
    </comment>
    <comment ref="BJ8" authorId="0" shapeId="0" xr:uid="{00000000-0006-0000-0600-000008000000}">
      <text>
        <r>
          <rPr>
            <sz val="9"/>
            <color indexed="81"/>
            <rFont val="Tahoma"/>
            <family val="2"/>
          </rPr>
          <t xml:space="preserve">If new construction, existing unit is older than 15 years, or the existing equipment is other than a water/ground/ground-water source heatpump, then use Air Souce heat pump as the baseline.  Use existing baseline if water/ground/ground-source heat pump less than 15 years old. 
</t>
        </r>
      </text>
    </comment>
    <comment ref="BK8" authorId="0" shapeId="0" xr:uid="{00000000-0006-0000-0600-000009000000}">
      <text>
        <r>
          <rPr>
            <sz val="9"/>
            <color indexed="81"/>
            <rFont val="Tahoma"/>
            <family val="2"/>
          </rPr>
          <t xml:space="preserve">If new construction, existing unit is older than 15 years, or the existing equipment is other than a water/ground/ground-water source heatpump, then use Air Souce heat pump as the baseline.  Use existing baseline if water/ground/ground-source heat pump less than 15 years old. 
ASHP baseline, otherwise defaults to baseline COP </t>
        </r>
      </text>
    </comment>
    <comment ref="BL8" authorId="0" shapeId="0" xr:uid="{00000000-0006-0000-0600-00000A000000}">
      <text>
        <r>
          <rPr>
            <sz val="9"/>
            <color indexed="81"/>
            <rFont val="Tahoma"/>
            <family val="2"/>
          </rPr>
          <t xml:space="preserve">If new construction, existing unit is older than 15 years, or the existing equipment is other than a water/ground/ground-water source heatpump, then use Air Souce heat pump as the baseline.  Use existing baseline if water/ground/ground-source heat pump less than 15 years old. 
</t>
        </r>
      </text>
    </comment>
    <comment ref="Q9" authorId="0" shapeId="0" xr:uid="{00000000-0006-0000-0600-00000B000000}">
      <text>
        <r>
          <rPr>
            <sz val="9"/>
            <color indexed="81"/>
            <rFont val="Tahoma"/>
            <family val="2"/>
          </rPr>
          <t>Enter the motor load factor or leave blank if unknown (a default of 0.75 will be used). Motor load factor is a ratio of the peak running load to the nameplate rating of the motor.</t>
        </r>
      </text>
    </comment>
    <comment ref="R9" authorId="0" shapeId="0" xr:uid="{00000000-0006-0000-0600-00000C000000}">
      <text>
        <r>
          <rPr>
            <sz val="9"/>
            <color indexed="81"/>
            <rFont val="Tahoma"/>
            <family val="2"/>
          </rPr>
          <t>Enter the efficiency of the existing pump motor or leave blank if unknown.  The efficiency of a code compliant motor will be used if unknown.</t>
        </r>
      </text>
    </comment>
    <comment ref="S9" authorId="0" shapeId="0" xr:uid="{00000000-0006-0000-0600-00000D000000}">
      <text>
        <r>
          <rPr>
            <sz val="9"/>
            <color indexed="81"/>
            <rFont val="Tahoma"/>
            <family val="2"/>
          </rPr>
          <t>Enter the efficiency of the existing ground loop pump at design point.  Leave blank if unknown.</t>
        </r>
      </text>
    </comment>
    <comment ref="AM9" authorId="1" shapeId="0" xr:uid="{79C139F8-A3BA-4161-BC10-0FA9198A6C77}">
      <text>
        <r>
          <rPr>
            <sz val="9"/>
            <color indexed="81"/>
            <rFont val="Tahoma"/>
            <family val="2"/>
          </rPr>
          <t>TEFC is Totally enclosed fan cooled
ODP is Open drip proof</t>
        </r>
      </text>
    </comment>
    <comment ref="AO9" authorId="0" shapeId="0" xr:uid="{00000000-0006-0000-0600-00000E000000}">
      <text>
        <r>
          <rPr>
            <sz val="9"/>
            <color indexed="81"/>
            <rFont val="Tahoma"/>
            <family val="2"/>
          </rPr>
          <t>Enter the motor load factor or leave blank if unknown (a default of 0.75 will be used).  Motor load factor is a ratio of the peak running load to the nameplate rating of the motor.</t>
        </r>
      </text>
    </comment>
    <comment ref="AP9" authorId="0" shapeId="0" xr:uid="{00000000-0006-0000-0600-00000F000000}">
      <text>
        <r>
          <rPr>
            <sz val="9"/>
            <color indexed="81"/>
            <rFont val="Tahoma"/>
            <family val="2"/>
          </rPr>
          <t>Enter the efficiency of the proposed pump motor or leave blank if unknown.  The efficiency of a code compliant motor will be used if unknown.</t>
        </r>
      </text>
    </comment>
    <comment ref="AQ9" authorId="0" shapeId="0" xr:uid="{00000000-0006-0000-0600-000010000000}">
      <text>
        <r>
          <rPr>
            <sz val="9"/>
            <color indexed="81"/>
            <rFont val="Tahoma"/>
            <family val="2"/>
          </rPr>
          <t>Enter the efficiency of the proposed ground loop pump at design point.  Leave blank if unknown.</t>
        </r>
      </text>
    </comment>
    <comment ref="AR9" authorId="1" shapeId="0" xr:uid="{06121322-5E69-46EF-BD3A-67E057C1CB70}">
      <text>
        <r>
          <rPr>
            <b/>
            <sz val="9"/>
            <color indexed="81"/>
            <rFont val="Tahoma"/>
            <family val="2"/>
          </rPr>
          <t>Sara Aaserud:</t>
        </r>
        <r>
          <rPr>
            <sz val="9"/>
            <color indexed="81"/>
            <rFont val="Tahoma"/>
            <family val="2"/>
          </rPr>
          <t xml:space="preserve">
if the baseline pump cell isn't filled out, assume the baseline pump is the same HP as the proposed</t>
        </r>
      </text>
    </comment>
    <comment ref="AU9" authorId="1" shapeId="0" xr:uid="{7492DC00-ABE7-4B84-84E3-B98BC526B4BC}">
      <text>
        <r>
          <rPr>
            <b/>
            <sz val="9"/>
            <color indexed="81"/>
            <rFont val="Tahoma"/>
            <family val="2"/>
          </rPr>
          <t>Sara Aaserud:</t>
        </r>
        <r>
          <rPr>
            <sz val="9"/>
            <color indexed="81"/>
            <rFont val="Tahoma"/>
            <family val="2"/>
          </rPr>
          <t xml:space="preserve">
fixed to 1.0 based on changes to 2021 TRM</t>
        </r>
      </text>
    </comment>
    <comment ref="AX9" authorId="1" shapeId="0" xr:uid="{0B329D0E-9E8C-4634-BA52-9A02C6C453DB}">
      <text>
        <r>
          <rPr>
            <b/>
            <sz val="9"/>
            <color indexed="81"/>
            <rFont val="Tahoma"/>
            <family val="2"/>
          </rPr>
          <t>Sara Aaserud:</t>
        </r>
        <r>
          <rPr>
            <sz val="9"/>
            <color indexed="81"/>
            <rFont val="Tahoma"/>
            <family val="2"/>
          </rPr>
          <t xml:space="preserve">
fixed to 1.0 based on changes to 2021 TRM</t>
        </r>
      </text>
    </comment>
    <comment ref="F46" authorId="0" shapeId="0" xr:uid="{00000000-0006-0000-0600-000011000000}">
      <text>
        <r>
          <rPr>
            <sz val="9"/>
            <color indexed="81"/>
            <rFont val="Tahoma"/>
            <family val="2"/>
          </rPr>
          <t>Converted SEER to EER using equation SEER x (11.3/13)</t>
        </r>
      </text>
    </comment>
    <comment ref="C61" authorId="1" shapeId="0" xr:uid="{845E4AD7-D072-4D38-A0FF-788A40ADA99E}">
      <text>
        <r>
          <rPr>
            <b/>
            <sz val="9"/>
            <color indexed="81"/>
            <rFont val="Tahoma"/>
            <family val="2"/>
          </rPr>
          <t>Sara Aaserud:</t>
        </r>
        <r>
          <rPr>
            <sz val="9"/>
            <color indexed="81"/>
            <rFont val="Tahoma"/>
            <family val="2"/>
          </rPr>
          <t xml:space="preserve">
no longer used based on 2021 TRM edits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James C. Hall</author>
  </authors>
  <commentList>
    <comment ref="H7" authorId="0" shapeId="0" xr:uid="{00000000-0006-0000-0700-000001000000}">
      <text>
        <r>
          <rPr>
            <sz val="9"/>
            <color indexed="81"/>
            <rFont val="Tahoma"/>
            <family val="2"/>
          </rPr>
          <t xml:space="preserve">The baseline efficiencies for new HVAC units replacing units over 15 years old will default to baseline efficiencies as defined by IECC 2015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Sara Aaserud</author>
  </authors>
  <commentList>
    <comment ref="U7" authorId="0" shapeId="0" xr:uid="{8B2034C5-E7CB-4A05-9BD2-8D0DE3A7763B}">
      <text>
        <r>
          <rPr>
            <b/>
            <sz val="9"/>
            <color indexed="81"/>
            <rFont val="Tahoma"/>
            <family val="2"/>
          </rPr>
          <t>Sara Aaserud:</t>
        </r>
        <r>
          <rPr>
            <sz val="9"/>
            <color indexed="81"/>
            <rFont val="Tahoma"/>
            <family val="2"/>
          </rPr>
          <t xml:space="preserve">
takes the retrofit eff if it's a replacement, otherwise it's the new construction baseline</t>
        </r>
      </text>
    </comment>
    <comment ref="V7" authorId="0" shapeId="0" xr:uid="{C1D119D2-D33A-4789-BDB3-6CBA97C41DEE}">
      <text>
        <r>
          <rPr>
            <b/>
            <sz val="9"/>
            <color indexed="81"/>
            <rFont val="Tahoma"/>
            <family val="2"/>
          </rPr>
          <t>Sara Aaserud:</t>
        </r>
        <r>
          <rPr>
            <sz val="9"/>
            <color indexed="81"/>
            <rFont val="Tahoma"/>
            <family val="2"/>
          </rPr>
          <t xml:space="preserve">
checks to see if the age of the existing equipment entry neccessitates the existing equipment to be the baseline, or the efficiency value in column 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Sara Aaserud</author>
  </authors>
  <commentList>
    <comment ref="Y7" authorId="0" shapeId="0" xr:uid="{3EB7FDBE-B367-4601-88F5-E59EC39E1227}">
      <text>
        <r>
          <rPr>
            <b/>
            <sz val="9"/>
            <color indexed="81"/>
            <rFont val="Tahoma"/>
            <family val="2"/>
          </rPr>
          <t>Sara Aaserud:</t>
        </r>
        <r>
          <rPr>
            <sz val="9"/>
            <color indexed="81"/>
            <rFont val="Tahoma"/>
            <family val="2"/>
          </rPr>
          <t xml:space="preserve">
takes the retrofit eff if it's a replacement, otherwise it's the new construction baseline</t>
        </r>
      </text>
    </comment>
    <comment ref="Z7" authorId="0" shapeId="0" xr:uid="{82DE1871-3D74-4104-927B-BBEAE18D5D68}">
      <text>
        <r>
          <rPr>
            <b/>
            <sz val="9"/>
            <color indexed="81"/>
            <rFont val="Tahoma"/>
            <family val="2"/>
          </rPr>
          <t>Sara Aaserud:</t>
        </r>
        <r>
          <rPr>
            <sz val="9"/>
            <color indexed="81"/>
            <rFont val="Tahoma"/>
            <family val="2"/>
          </rPr>
          <t xml:space="preserve">
checks to see if the age of the existing equipment entry neccessitates the existing equipment to be the baseline, or the efficiency value in column V</t>
        </r>
      </text>
    </comment>
    <comment ref="AJ7" authorId="0" shapeId="0" xr:uid="{6DD52E88-E508-4443-B470-5BF784824D9B}">
      <text>
        <r>
          <rPr>
            <b/>
            <sz val="9"/>
            <color indexed="81"/>
            <rFont val="Tahoma"/>
            <family val="2"/>
          </rPr>
          <t>Sara Aaserud:</t>
        </r>
        <r>
          <rPr>
            <sz val="9"/>
            <color indexed="81"/>
            <rFont val="Tahoma"/>
            <family val="2"/>
          </rPr>
          <t xml:space="preserve">
takes the retrofit eff if it's a replacement, otherwise it's the new construction baseline</t>
        </r>
      </text>
    </comment>
    <comment ref="AK7" authorId="0" shapeId="0" xr:uid="{B4BA4A21-08FC-422A-83F3-72972311262C}">
      <text>
        <r>
          <rPr>
            <b/>
            <sz val="9"/>
            <color indexed="81"/>
            <rFont val="Tahoma"/>
            <family val="2"/>
          </rPr>
          <t>Sara Aaserud:</t>
        </r>
        <r>
          <rPr>
            <sz val="9"/>
            <color indexed="81"/>
            <rFont val="Tahoma"/>
            <family val="2"/>
          </rPr>
          <t xml:space="preserve">
checks to see if the age of the existing equipment entry neccessitates the existing equipment to be the baseline, or the efficiency value in column AF</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<sst xmlns="http://schemas.openxmlformats.org/spreadsheetml/2006/main" count="6195" uniqueCount="1036">
  <si>
    <t>Worksheet Version</t>
  </si>
  <si>
    <t xml:space="preserve">All HVAC Program applicants must submit a completed, electronic copy of this HVAC calculator tool along with an online HVAC program application.  Only new HVAC equipment used for comfort cooling is eligible for incentives through the HVAC incentive program.  HVAC equipment used for industrial processes may be eligible for incentives through the Custom Equipment program.  For more information regarding FirstEnergy's Pennsylvania Utilities' HVAC incentive program visit: www.energysavePA-business.com.  If you have questions regarding this calculator, 
please call 844-323-6399 or send an email to energysavePA@franklinenergy.com. </t>
  </si>
  <si>
    <t>Cell Color Key</t>
  </si>
  <si>
    <t>Gray Cells</t>
  </si>
  <si>
    <t>This is a calculated or read only field</t>
  </si>
  <si>
    <t>White Cells</t>
  </si>
  <si>
    <t>Input fields for entering project and equipment details</t>
  </si>
  <si>
    <t>Black Cells</t>
  </si>
  <si>
    <t>Cell not applicable to the particular piece of proposed equipment</t>
  </si>
  <si>
    <t>Red Cells</t>
  </si>
  <si>
    <t>Indicates a required field was left blank or the proposed equipment does not qualify for incentives</t>
  </si>
  <si>
    <t>Calculator Tabs</t>
  </si>
  <si>
    <t>Project Summary</t>
  </si>
  <si>
    <t>The Project Summary tab shows the estimated incentive, demand and energy savings.  Information such as the customer name, building name and the facility address should be entered on the Project Summary worksheet.  
Clicking on the title of each equipment type will bring up the associated calculator worksheet.</t>
  </si>
  <si>
    <t>Each type of HVAC equipment has its own calculation tab.  Complete one row for every unique piece of equipment, and complete all white cells in each row to estimate the annual energy savings and incentive.  Columns marked with an asterisk (*) are required.
If the equipment being applied for is larger than the specified sizing in a calculator section for prescriptive incentives, please submit a Custom application.</t>
  </si>
  <si>
    <t>Split and Packaged Units</t>
  </si>
  <si>
    <t>Eligible packaged or split HVAC systems must meet or exceed both full and part load (if applicable) cooling efficiency requirements as defined on the website at www.energysavepa-business.com.  HVAC systems must be used for comfort cooling only to qualify.  Qualifying split systems must have both a new condenser and a new coil that meets AHRI specifications and where the matched system performance (condenser and coil) meets or exceeds the minimum requirements.</t>
  </si>
  <si>
    <t>Air Source Heat Pumps</t>
  </si>
  <si>
    <t>Eligible equipment must meet or exceed cooling and heating efficiency requirements as outlined on our website at energysavePA-business.com.  Heat pump systems must be used for both heating and comfort cooling applications.  Qualifying split heat pump systems must have both a new condenser and a new coil that meets AHRI specifications and where the matched system performance (condenser and coil) meets or exceeds the minimum requirements.</t>
  </si>
  <si>
    <t>Water Source Heat Pumps</t>
  </si>
  <si>
    <t xml:space="preserve">Eligible equipment must meet or exceed cooling and heating efficiency requirements outlined at energysavePA-business.com.  Heat pump systems must be used for both heating and comfort cooling applications.  Qualifying systems must have both a new condenser and a new coil that meets AHRI specifications and where the matched system performance (condenser and coil) meets or exceeds the minimum requirements.  Ground source and ground water source heat pumps (i.e., geothermal-heat pumps) with cooling capacities of 135,000 Btu/h or greater are not eligible for incentives under the HVAC program. </t>
  </si>
  <si>
    <t>Ductless Mini Splits</t>
  </si>
  <si>
    <t xml:space="preserve">Eligible ductless mini-split heat pumps must be used for comfort cooling and must be Energy Star® qualified with a SEER of at least 20 and an HSPF of at least 10.  Qualifying systems must have both a new condenser and a new evaporator coil that meets AHRI specifications, where the matched system performance (condenser and coil) meets or exceeds the minimum program requirements.  Replacement and new installations are eligible.  Systems with cooling capacities greater than 5.4 tons, systems used for cooling of IT equipment, or systems used for industrial processes, would not be eligble for incentives through this measure and may be eligible under the Custom Equipment program.  Units must be used for both heating and cooling.  </t>
  </si>
  <si>
    <t>PTACs</t>
  </si>
  <si>
    <t>Eligible PTAC units must be used for comfort cooling applications, and must meet or exceed full load cooling efficiency requirements as defined on www.energysavePA-business.com.</t>
  </si>
  <si>
    <t>PTHPs</t>
  </si>
  <si>
    <t>Eligible PTHP units must be used for heating and comfort cooling applications, and meet or exceed full load cooling and heating efficiency requirements as defined on www.energysavePA-business.com.</t>
  </si>
  <si>
    <t>Commercial Smart Thermostats</t>
  </si>
  <si>
    <t>ENERGY STAR®-certified connected thermostats may replace either a manual thermostat or a conventional programmable thermostat. The energy savings assume an existing ducted HVAC system with either a heat pump, fossil fuel heating with central AC, or an electric furnace with central AC. CT or line voltage thermostats controlling radiant floor heating or window type air conditioning units are not eligible. Must be installed in a nonresidential facility with central cooling or heating or line voltage heating provided that professional installers use aftermarket transformers to step down the line voltage to 24V. Eligible HVAC systems must be single-zone and &lt;65 kBtu/h for cooling systems and &lt;225 kBtu/h for heating systems.</t>
  </si>
  <si>
    <t>Data Export</t>
  </si>
  <si>
    <t>Used by internal staff for application processing</t>
  </si>
  <si>
    <r>
      <t xml:space="preserve"> Franklin Energy</t>
    </r>
    <r>
      <rPr>
        <b/>
        <sz val="10"/>
        <color theme="0"/>
        <rFont val="Tahoma"/>
        <family val="2"/>
      </rPr>
      <t xml:space="preserve"> -</t>
    </r>
    <r>
      <rPr>
        <b/>
        <sz val="10"/>
        <color rgb="FFFFFF00"/>
        <rFont val="Tahoma"/>
        <family val="2"/>
      </rPr>
      <t xml:space="preserve"> (844) 323-6399| energysavePA@franklinenergy.com</t>
    </r>
  </si>
  <si>
    <t>HVAC Incentive Program</t>
  </si>
  <si>
    <t xml:space="preserve"> Customer Name   </t>
  </si>
  <si>
    <t xml:space="preserve"> Building Name   </t>
  </si>
  <si>
    <t xml:space="preserve"> Building Address   </t>
  </si>
  <si>
    <t xml:space="preserve"> Project ID   </t>
  </si>
  <si>
    <t xml:space="preserve"> External ID   </t>
  </si>
  <si>
    <t xml:space="preserve"> Total Estimated Annual Energy Savings (kWh)   </t>
  </si>
  <si>
    <t xml:space="preserve"> Total Demand Reduction (kW)   </t>
  </si>
  <si>
    <t xml:space="preserve"> Total Calculated Project Incentive   </t>
  </si>
  <si>
    <r>
      <t xml:space="preserve">Equipment Type 
</t>
    </r>
    <r>
      <rPr>
        <b/>
        <sz val="8"/>
        <rFont val="Calibri"/>
        <family val="2"/>
      </rPr>
      <t>(click on titles below to jump to the associated calculator)</t>
    </r>
  </si>
  <si>
    <t>Quantity</t>
  </si>
  <si>
    <t>Demand Savings (kW)</t>
  </si>
  <si>
    <t>Energy Savings (kWh)</t>
  </si>
  <si>
    <t>Incentive</t>
  </si>
  <si>
    <t>Split &amp; Packaged Units</t>
  </si>
  <si>
    <t>Packaged Terminal Air Conditioners</t>
  </si>
  <si>
    <t>Packaged Terminal Heat Pumps</t>
  </si>
  <si>
    <t>Window Air Conditioners</t>
  </si>
  <si>
    <t>Franklin Energy - (844) 323-6399 - energysavePA@franklinenergy.com</t>
  </si>
  <si>
    <t>Water Cooled Chillers</t>
  </si>
  <si>
    <t>Air Source HP</t>
  </si>
  <si>
    <t>Water Source HP</t>
  </si>
  <si>
    <t>Ductless Mini Split</t>
  </si>
  <si>
    <t>Room AC</t>
  </si>
  <si>
    <t>PTAC</t>
  </si>
  <si>
    <t>PTHP</t>
  </si>
  <si>
    <t>Circulation Pumps</t>
  </si>
  <si>
    <t>HVAC Maintenance</t>
  </si>
  <si>
    <t>PA TRM 2016 Section 3.2.2 p270-274</t>
  </si>
  <si>
    <t xml:space="preserve">      Facility/Project Info</t>
  </si>
  <si>
    <t>Old Chiller Information (leave blank if new construction or unknown)</t>
  </si>
  <si>
    <t>New Chiller Information</t>
  </si>
  <si>
    <t xml:space="preserve">Line </t>
  </si>
  <si>
    <t>Measure</t>
  </si>
  <si>
    <t>Installation Type
(drop down menu)</t>
  </si>
  <si>
    <t>Facility Type
(drop down menu)</t>
  </si>
  <si>
    <t>Zip Code of Facility
(drop down menu)</t>
  </si>
  <si>
    <t>City</t>
  </si>
  <si>
    <t>Old Chiller Age in Years
(if applicable)</t>
  </si>
  <si>
    <t>Old Chiller Part Load Efficiency kW/ton
(if applicable)</t>
  </si>
  <si>
    <t>Old Chiller Full Load Efficiency kW/ton
(if applicable)</t>
  </si>
  <si>
    <t>New Chiller Manufacturer</t>
  </si>
  <si>
    <t>New Chiller 
Model Number</t>
  </si>
  <si>
    <t>Chiller Unit ID</t>
  </si>
  <si>
    <t>Predominant Chiller Load Type 
(drop down menu)</t>
  </si>
  <si>
    <t>Cooling Capacity 
Btu/h</t>
  </si>
  <si>
    <t>Cooling Capacity in Tons (calculated)</t>
  </si>
  <si>
    <t>New Part-Load Cooling Efficiency 
EER</t>
  </si>
  <si>
    <t>New Full-Load Cooling Efficiency (kW/ton)</t>
  </si>
  <si>
    <t>Coincidence Factor</t>
  </si>
  <si>
    <t>Annual Hours</t>
  </si>
  <si>
    <t>Part Load Base Lookup IPLV</t>
  </si>
  <si>
    <t>Part Load Base IPLV</t>
  </si>
  <si>
    <t>Full Load Base Lookup (kW/ton)</t>
  </si>
  <si>
    <t>Full Load Base  (kW/ton)</t>
  </si>
  <si>
    <r>
      <t>Total Demand Savings (kW</t>
    </r>
    <r>
      <rPr>
        <b/>
        <sz val="8"/>
        <color indexed="9"/>
        <rFont val="Tahoma"/>
        <family val="2"/>
      </rPr>
      <t>)</t>
    </r>
  </si>
  <si>
    <t>Total Energy Savings (kWh)</t>
  </si>
  <si>
    <t>Total Incentive</t>
  </si>
  <si>
    <t>Cooling Capacity Range Lookup</t>
  </si>
  <si>
    <t>Equipment Eligible for Incentive?</t>
  </si>
  <si>
    <t xml:space="preserve">Minimum Required </t>
  </si>
  <si>
    <t>Proposed</t>
  </si>
  <si>
    <t>Air Cooled Electric Chiller</t>
  </si>
  <si>
    <t>Air Cooled Electric Chillers</t>
  </si>
  <si>
    <t>Chiller Load Type</t>
  </si>
  <si>
    <t>Baseline Efficiencies [IECC 2009] (EER)</t>
  </si>
  <si>
    <t>Program Minimum Efficiencies (kWh/ton)</t>
  </si>
  <si>
    <t>Part Load</t>
  </si>
  <si>
    <t>Full Load (Path A)</t>
  </si>
  <si>
    <t>Part Load (Path B)</t>
  </si>
  <si>
    <t>Full Load</t>
  </si>
  <si>
    <t>Equipment Description</t>
  </si>
  <si>
    <t>Cooling Capacities</t>
  </si>
  <si>
    <t>IPLV</t>
  </si>
  <si>
    <t>Air Cooled</t>
  </si>
  <si>
    <t>&lt; 150 tons</t>
  </si>
  <si>
    <t>N/A</t>
  </si>
  <si>
    <t>-</t>
  </si>
  <si>
    <t>Incentive/kWh</t>
  </si>
  <si>
    <t>≥ 150 tons</t>
  </si>
  <si>
    <t xml:space="preserve">      Facility/Project Information</t>
  </si>
  <si>
    <r>
      <t xml:space="preserve"> Old Equipment Information </t>
    </r>
    <r>
      <rPr>
        <sz val="9"/>
        <color theme="0"/>
        <rFont val="Tahoma"/>
        <family val="2"/>
      </rPr>
      <t>(if applicable)</t>
    </r>
  </si>
  <si>
    <t xml:space="preserve">  New Equipment Information</t>
  </si>
  <si>
    <r>
      <t xml:space="preserve">Installation Type*
</t>
    </r>
    <r>
      <rPr>
        <sz val="8"/>
        <color theme="0"/>
        <rFont val="Tahoma"/>
        <family val="2"/>
      </rPr>
      <t>(drop down menu)</t>
    </r>
  </si>
  <si>
    <r>
      <t xml:space="preserve">Facility Type*
</t>
    </r>
    <r>
      <rPr>
        <sz val="8"/>
        <color theme="0"/>
        <rFont val="Tahoma"/>
        <family val="2"/>
      </rPr>
      <t>(drop down menu)</t>
    </r>
  </si>
  <si>
    <r>
      <t xml:space="preserve">Zip Code of Facility*
</t>
    </r>
    <r>
      <rPr>
        <sz val="8"/>
        <color theme="0"/>
        <rFont val="Tahoma"/>
        <family val="2"/>
      </rPr>
      <t>(drop down menu)</t>
    </r>
  </si>
  <si>
    <r>
      <t xml:space="preserve">City
</t>
    </r>
    <r>
      <rPr>
        <sz val="8"/>
        <color theme="0"/>
        <rFont val="Tahoma"/>
        <family val="2"/>
      </rPr>
      <t>(lookup)</t>
    </r>
  </si>
  <si>
    <r>
      <t xml:space="preserve">Old Chiller Age in Years
</t>
    </r>
    <r>
      <rPr>
        <sz val="8"/>
        <color theme="0"/>
        <rFont val="Tahoma"/>
        <family val="2"/>
      </rPr>
      <t>(if applicable)</t>
    </r>
  </si>
  <si>
    <r>
      <t xml:space="preserve">Old Chiller Part Load Efficiency kW/ton
</t>
    </r>
    <r>
      <rPr>
        <sz val="8"/>
        <color theme="0"/>
        <rFont val="Tahoma"/>
        <family val="2"/>
      </rPr>
      <t>(if applicable)</t>
    </r>
  </si>
  <si>
    <r>
      <t xml:space="preserve">Old Chiller Full Load Efficiency kW/ton
</t>
    </r>
    <r>
      <rPr>
        <sz val="8"/>
        <color theme="0"/>
        <rFont val="Tahoma"/>
        <family val="2"/>
      </rPr>
      <t>(if applicable)</t>
    </r>
  </si>
  <si>
    <r>
      <t xml:space="preserve">Chiller Type*
</t>
    </r>
    <r>
      <rPr>
        <sz val="8"/>
        <color theme="0"/>
        <rFont val="Tahoma"/>
        <family val="2"/>
      </rPr>
      <t>(drop down menu)</t>
    </r>
  </si>
  <si>
    <r>
      <t xml:space="preserve">Predominant Load Type*
</t>
    </r>
    <r>
      <rPr>
        <sz val="8"/>
        <color theme="0"/>
        <rFont val="Tahoma"/>
        <family val="2"/>
      </rPr>
      <t>(drop down menu)</t>
    </r>
  </si>
  <si>
    <t>Cooling Capacity* (AHRI net) 
Btu/h</t>
  </si>
  <si>
    <r>
      <t xml:space="preserve">Cooling Capacity in Tons
</t>
    </r>
    <r>
      <rPr>
        <sz val="8"/>
        <color theme="0"/>
        <rFont val="Tahoma"/>
        <family val="2"/>
      </rPr>
      <t>(calculated)</t>
    </r>
  </si>
  <si>
    <t>New Part-Load Cooling Efficiency 
IPLV (kW/ton)*</t>
  </si>
  <si>
    <r>
      <rPr>
        <b/>
        <sz val="8"/>
        <color theme="0"/>
        <rFont val="Tahoma"/>
        <family val="2"/>
      </rPr>
      <t>New Full-Load Cooling Efficiency (kW/ton</t>
    </r>
    <r>
      <rPr>
        <sz val="8"/>
        <color theme="0"/>
        <rFont val="Tahoma"/>
        <family val="2"/>
      </rPr>
      <t>)*</t>
    </r>
  </si>
  <si>
    <t>Part Load Base Lookup IPLV 
(kW/ton)</t>
  </si>
  <si>
    <r>
      <t xml:space="preserve">Part Load Base IPLV </t>
    </r>
    <r>
      <rPr>
        <sz val="8"/>
        <color theme="0"/>
        <rFont val="Tahoma"/>
        <family val="2"/>
      </rPr>
      <t>(kW/ton)</t>
    </r>
  </si>
  <si>
    <r>
      <t xml:space="preserve">Full Load Base Lookup </t>
    </r>
    <r>
      <rPr>
        <sz val="8"/>
        <color theme="0"/>
        <rFont val="Tahoma"/>
        <family val="2"/>
      </rPr>
      <t>(kW/ton)</t>
    </r>
  </si>
  <si>
    <r>
      <t xml:space="preserve">Full Load Base  </t>
    </r>
    <r>
      <rPr>
        <sz val="8"/>
        <color theme="0"/>
        <rFont val="Tahoma"/>
        <family val="2"/>
      </rPr>
      <t>(kW/ton)</t>
    </r>
  </si>
  <si>
    <t>Measure Name</t>
  </si>
  <si>
    <t>FirstEnergy Reporting Category</t>
  </si>
  <si>
    <t>Measure ID</t>
  </si>
  <si>
    <t>Row #</t>
  </si>
  <si>
    <t>Quantity*</t>
  </si>
  <si>
    <t>Manufacturer</t>
  </si>
  <si>
    <t>Model Number</t>
  </si>
  <si>
    <t>Unit ID</t>
  </si>
  <si>
    <t>Water Cooled Electric Chiller</t>
  </si>
  <si>
    <t>Water Cooled Electric Chillers</t>
  </si>
  <si>
    <t>Baseline Efficiencies [IECC 2015] (kWh/ton)</t>
  </si>
  <si>
    <t>Reporting Name</t>
  </si>
  <si>
    <t>Min Tons</t>
  </si>
  <si>
    <t>Max Tons</t>
  </si>
  <si>
    <t>Reciprocating/Positive Displacement</t>
  </si>
  <si>
    <t>&lt; 75 tons</t>
  </si>
  <si>
    <t>FEPA-86</t>
  </si>
  <si>
    <t>Electric Chillers - Water Cooled - Reciprocating/Positive Displacement LT 75 tons</t>
  </si>
  <si>
    <t>Chiller - Water Cooled w Full Load - Level 1</t>
  </si>
  <si>
    <t>≥ 75 tons and &lt; 150 tons</t>
  </si>
  <si>
    <t>FEPA-87</t>
  </si>
  <si>
    <t>Electric Chillers - Water Cooled - Reciprocating/Positive Displacement GTE 75 tons and LT 150 tons</t>
  </si>
  <si>
    <t>≥ 150 tons and &lt; 300 tons</t>
  </si>
  <si>
    <t>FEPA-88</t>
  </si>
  <si>
    <t>Electric Chillers - Water Cooled - Reciprocating/Positive Displacement GTE 150 tons and LT 300 tons</t>
  </si>
  <si>
    <t>≥ 300 tons and &lt; 600 tons</t>
  </si>
  <si>
    <t>FEPA-89</t>
  </si>
  <si>
    <t>Electric Chillers - Water Cooled - Reciprocating/Positive Displacement GTE 300 tons and LT 600 tons</t>
  </si>
  <si>
    <t>Incentive/ton</t>
  </si>
  <si>
    <t>≥ 600 tons</t>
  </si>
  <si>
    <t>Electric Chillers - Water Cooled - Reciprocating/Positive Displacement GTE 600 tons</t>
  </si>
  <si>
    <t>Centrifugal</t>
  </si>
  <si>
    <t>FEPA-90</t>
  </si>
  <si>
    <t>Electric Chillers - Water Cooled - Centrifugal LT 150 tons</t>
  </si>
  <si>
    <t>FEPA-91</t>
  </si>
  <si>
    <t>Electric Chillers - Water Cooled - Centrifugal GTE 150 tons and LT 300 tons</t>
  </si>
  <si>
    <t>Measure Life</t>
  </si>
  <si>
    <t>≥ 300 tons and &lt; 400 tons</t>
  </si>
  <si>
    <t>FEPA-92</t>
  </si>
  <si>
    <t>Electric Chillers - Water Cooled - Centrifugal GTE 300 tons and LT 400 tons</t>
  </si>
  <si>
    <t>≥ 400 tons and &lt; 600 tons</t>
  </si>
  <si>
    <t>Electric Chillers - Water Cooled - Centrifugal GTE 400 tons and LT 600 tons</t>
  </si>
  <si>
    <t>FEPA-93</t>
  </si>
  <si>
    <t>Electric Chillers - Water Cooled - Centrifugal GTE 600 tons</t>
  </si>
  <si>
    <t>Minimum Efficiency Requirements for Water Cooled Electric Chillers (kW/ton)</t>
  </si>
  <si>
    <t xml:space="preserve">     Facility/Project Information</t>
  </si>
  <si>
    <t xml:space="preserve">  Old Equipment Information (if applicable)</t>
  </si>
  <si>
    <t>Total Savings (kW)</t>
  </si>
  <si>
    <r>
      <t xml:space="preserve">Equipment 
Age in Years
</t>
    </r>
    <r>
      <rPr>
        <sz val="8"/>
        <color theme="0"/>
        <rFont val="Tahoma"/>
        <family val="2"/>
      </rPr>
      <t>(if applicable)</t>
    </r>
  </si>
  <si>
    <r>
      <t xml:space="preserve">Cooling Efficiency (SEER)
</t>
    </r>
    <r>
      <rPr>
        <sz val="8"/>
        <color theme="0"/>
        <rFont val="Tahoma"/>
        <family val="2"/>
      </rPr>
      <t>(if applicable--for existing units &lt; 65,000 Btu/h)</t>
    </r>
  </si>
  <si>
    <r>
      <t xml:space="preserve">Cooling Efficiency (EER)
</t>
    </r>
    <r>
      <rPr>
        <sz val="8"/>
        <color theme="0"/>
        <rFont val="Tahoma"/>
        <family val="2"/>
      </rPr>
      <t>(if applicable)</t>
    </r>
  </si>
  <si>
    <r>
      <t xml:space="preserve">Cooling Efficiency (IEER)
</t>
    </r>
    <r>
      <rPr>
        <sz val="8"/>
        <color theme="0"/>
        <rFont val="Tahoma"/>
        <family val="2"/>
      </rPr>
      <t xml:space="preserve">(if applicable--for existing units </t>
    </r>
    <r>
      <rPr>
        <sz val="8"/>
        <color theme="0"/>
        <rFont val="Calibri"/>
        <family val="2"/>
      </rPr>
      <t>≥</t>
    </r>
    <r>
      <rPr>
        <sz val="8"/>
        <color theme="0"/>
        <rFont val="Tahoma"/>
        <family val="2"/>
      </rPr>
      <t xml:space="preserve"> 65,000 Btu/h)</t>
    </r>
  </si>
  <si>
    <r>
      <t xml:space="preserve">Equipment Type*
</t>
    </r>
    <r>
      <rPr>
        <sz val="8"/>
        <color theme="0"/>
        <rFont val="Tahoma"/>
        <family val="2"/>
      </rPr>
      <t>(drop down menu)</t>
    </r>
  </si>
  <si>
    <r>
      <t xml:space="preserve">Heating Section Type*
</t>
    </r>
    <r>
      <rPr>
        <sz val="8"/>
        <color theme="0"/>
        <rFont val="Tahoma"/>
        <family val="2"/>
      </rPr>
      <t>(drop down menu)</t>
    </r>
  </si>
  <si>
    <t>New Equipment Manufacturer</t>
  </si>
  <si>
    <t>New Equipment 
Model Number</t>
  </si>
  <si>
    <t>HVAC Unit ID</t>
  </si>
  <si>
    <t>Phase</t>
  </si>
  <si>
    <r>
      <t xml:space="preserve">Cooling Capacity in Tons 
</t>
    </r>
    <r>
      <rPr>
        <sz val="8"/>
        <color theme="0"/>
        <rFont val="Tahoma"/>
        <family val="2"/>
      </rPr>
      <t>(calculated)</t>
    </r>
  </si>
  <si>
    <t>New System Cooling Efficiency*
(SEER2 for equipment &lt;65,000 btu/h and Single Phase OR SEER &lt;65,000btu/h and Three Phase OR EER for equipment &gt;65,000 btu/h)</t>
  </si>
  <si>
    <t>New System Part Load 
Cooling Efficiency (IEER)*</t>
  </si>
  <si>
    <t>SEER2 converted to SEER for calculations</t>
  </si>
  <si>
    <t>Annual 
Hours</t>
  </si>
  <si>
    <t>Heating Adjustment Factor</t>
  </si>
  <si>
    <t>Base SEER</t>
  </si>
  <si>
    <t>Base EER</t>
  </si>
  <si>
    <t>Base IEER</t>
  </si>
  <si>
    <t>Minimum SEER2</t>
  </si>
  <si>
    <t>Minimum EER</t>
  </si>
  <si>
    <t>Minimum IEER</t>
  </si>
  <si>
    <t>AHRI Certificate Number</t>
  </si>
  <si>
    <t>Equipment Cost (total per line)</t>
  </si>
  <si>
    <t>Uncapped Incentive</t>
  </si>
  <si>
    <t>SEER2</t>
  </si>
  <si>
    <t>EER</t>
  </si>
  <si>
    <t>SEER2 Baseline</t>
  </si>
  <si>
    <t>EER2 Baseline</t>
  </si>
  <si>
    <t>System Type</t>
  </si>
  <si>
    <t>Grade</t>
  </si>
  <si>
    <t>Key</t>
  </si>
  <si>
    <t>InstallType3</t>
  </si>
  <si>
    <t>FacilityTypeFEPA</t>
  </si>
  <si>
    <t>ExistAge</t>
  </si>
  <si>
    <t>ExistSEER</t>
  </si>
  <si>
    <t>ExistEER</t>
  </si>
  <si>
    <t>ExistIEER</t>
  </si>
  <si>
    <t>Equipment3</t>
  </si>
  <si>
    <t>HeatingFEPA</t>
  </si>
  <si>
    <t>Model</t>
  </si>
  <si>
    <t>AHRI</t>
  </si>
  <si>
    <t>UnitID</t>
  </si>
  <si>
    <t>MeasureCost</t>
  </si>
  <si>
    <t>CoolCap</t>
  </si>
  <si>
    <t>NewIEER</t>
  </si>
  <si>
    <t>NcpkW</t>
  </si>
  <si>
    <t>CoinckW</t>
  </si>
  <si>
    <t>kWh</t>
  </si>
  <si>
    <t>CapIncentive</t>
  </si>
  <si>
    <t>UncapIncentive</t>
  </si>
  <si>
    <t>MeasureQualifies</t>
  </si>
  <si>
    <t>ExternalID</t>
  </si>
  <si>
    <t>NewSEEREER</t>
  </si>
  <si>
    <t>SEER2Baseline</t>
  </si>
  <si>
    <t>EER2baseline</t>
  </si>
  <si>
    <t>SystemType</t>
  </si>
  <si>
    <t>Split/Packaged HVAC</t>
  </si>
  <si>
    <t>New Construction</t>
  </si>
  <si>
    <t>Education - Other</t>
  </si>
  <si>
    <t>Air Cooled - Single Package</t>
  </si>
  <si>
    <t>Gas</t>
  </si>
  <si>
    <t>Single</t>
  </si>
  <si>
    <t>Electric Resistance</t>
  </si>
  <si>
    <t>Three</t>
  </si>
  <si>
    <t>Air Cooled - Split System</t>
  </si>
  <si>
    <t>SEER</t>
  </si>
  <si>
    <t>Air Conditioners</t>
  </si>
  <si>
    <t>Baseline [IECC 2015] PY15-17</t>
  </si>
  <si>
    <t>Program Minimums 
[SEER2 &gt;= 15.2, EER &gt;= 13 for &lt; 65,000
5% above code for &gt;= 65,000 Btu]</t>
  </si>
  <si>
    <t>Equipment Type</t>
  </si>
  <si>
    <t>SEERbase</t>
  </si>
  <si>
    <t>EERbase</t>
  </si>
  <si>
    <t>IEERbase</t>
  </si>
  <si>
    <t>EERmin</t>
  </si>
  <si>
    <t>IEERmin</t>
  </si>
  <si>
    <t>Units</t>
  </si>
  <si>
    <t>Heating section</t>
  </si>
  <si>
    <t>Consumer (Single Phase) or Commercial (Three Phase)</t>
  </si>
  <si>
    <t>Packaged System</t>
  </si>
  <si>
    <t>&lt;= 65,000 Btu/h (5.4 tons) 15.2 SEER2 7.2 HSPF2</t>
  </si>
  <si>
    <t>Consumer</t>
  </si>
  <si>
    <t>Split System</t>
  </si>
  <si>
    <t>&lt;= 65,000 Btu/h (5.4 tons) 15.2 SEER2 7.8 HSPF2</t>
  </si>
  <si>
    <t>&lt; 65,000 Btu/h (5.4 tons) 15.2 SEER2</t>
  </si>
  <si>
    <t>Per ton</t>
  </si>
  <si>
    <t>CI-CO-PR-IT-AC-000001-01-FEPA-CI</t>
  </si>
  <si>
    <t>Split AC Units - Air Cooled LT 65,000 Btu/h (5.4 tons)</t>
  </si>
  <si>
    <t>Air Conditioning - Level 1 &lt;= 5.4 Tons</t>
  </si>
  <si>
    <t>Electirc resistance or None</t>
  </si>
  <si>
    <t>Commercial</t>
  </si>
  <si>
    <t>&lt; 65,000 Btu/h (5.4 tons) 16.9 SEER2</t>
  </si>
  <si>
    <t>Air Conditioning - Level 2 &lt;= 5.4 Tons</t>
  </si>
  <si>
    <t>≥ 65,000 Btu/h (5.4 tons) and &lt; 135,000 Btu/h (11.25 tons)</t>
  </si>
  <si>
    <t>CI-CO-PR-IT-AC-000002-01-FEPA-CI</t>
  </si>
  <si>
    <t>Split AC Units - Air Cooled GTE 65,000 Btu/h (5.4 tons) and LT 135,000 Btu/h (11.25 tons)</t>
  </si>
  <si>
    <t xml:space="preserve">Air Conditioning - Level 1 &gt; 5.4 &lt; 20 Tons </t>
  </si>
  <si>
    <t>≥ 135,000 Btu/h (11.25 tons) and &lt; 240,000 Btu/h (20 tons)</t>
  </si>
  <si>
    <t>Split AC Units - Air Cooled GTE 135,000 Btu/h (11.25 tons) and LT 240,000 Btu/h (20 tons)</t>
  </si>
  <si>
    <t>≥ 240,000 Btu/h (20 tons) and &lt; 760,000 Btu/h (63.33 tons)</t>
  </si>
  <si>
    <t>CI-CO-PR-IT-AC-000003-01-FEPA-CI</t>
  </si>
  <si>
    <t>Split AC Units - Air Cooled GTE 240,000 Btu/h (20 tons) and LT 760,000 Btu/h (63.33 tons)</t>
  </si>
  <si>
    <t>Air Conditioning - Level 1 ≥ 20 Tons</t>
  </si>
  <si>
    <t xml:space="preserve">≥ 760,000 Btu/h (63.33 tons) </t>
  </si>
  <si>
    <t xml:space="preserve">Split AC Units - Air Cooled GTE 760,000 Btu/h (63.33 tons) </t>
  </si>
  <si>
    <t>Packaged AC Units - Air Cooled LT 65,000 Btu/h (5.4 tons)</t>
  </si>
  <si>
    <t>Packaged AC Units - Air Cooled GTE 65,000 Btu/h (5.4 tons) and LT 135,000 Btu/h (11.25 tons)</t>
  </si>
  <si>
    <t>Packaged AC Units - Air Cooled GTE 135,000 Btu/h (11.25 tons) and LT 240,000 Btu/h (20 tons)</t>
  </si>
  <si>
    <t>Packaged AC Units - Air Cooled GTE 240,000 Btu/h (20 tons) and LT 760,000 Btu/h (63.33 tons)</t>
  </si>
  <si>
    <t xml:space="preserve">Packaged AC Units - Air Cooled GTE 760,000 Btu/h (63.33 tons) </t>
  </si>
  <si>
    <t>Water Cooled - Split System</t>
  </si>
  <si>
    <t>Split AC Units - Water Cooled LT 65,000 Btu/h (5.4 tons)</t>
  </si>
  <si>
    <t>Split AC Units - Water Cooled GTE 65,000 Btu/h (5.4 tons) and LT 135,000 Btu/h (11.25 tons)</t>
  </si>
  <si>
    <t>Split AC Units - Water Cooled GTE 135,000 Btu/h (11.25 tons) and LT 240,000 Btu/h (20 tons)</t>
  </si>
  <si>
    <t>Split AC Units - Water Cooled GTE 240,000 Btu/h (20 tons) and LT 760,000 Btu/h (63.33 tons)</t>
  </si>
  <si>
    <t xml:space="preserve">Split AC Units - Water Cooled GTE 760,000 Btu/h (63.33 tons) </t>
  </si>
  <si>
    <t>Water Cooled - Single Package</t>
  </si>
  <si>
    <t>Packaged AC Units - Water Cooled LT 65,000 Btu/h (5.4 tons)</t>
  </si>
  <si>
    <t>Packaged AC Units - Water Cooled GTE 65,000 Btu/h (5.4 tons) and LT 135,000 Btu/h (11.25 tons)</t>
  </si>
  <si>
    <t>Packaged AC Units - Water Cooled GTE 135,000 Btu/h (11.25 tons) and LT 240,000 Btu/h (20 tons)</t>
  </si>
  <si>
    <t>Packaged AC Units - Water Cooled GTE 240,000 Btu/h (20 tons) and LT 760,000 Btu/h (63.33 tons)</t>
  </si>
  <si>
    <t xml:space="preserve">Packaged AC Units - Water Cooled GTE 760,000 Btu/h (63.33 tons) </t>
  </si>
  <si>
    <t>Evaporatively Cooled - Split System</t>
  </si>
  <si>
    <t>Split AC Units - Evaporatively Cooled LT 65,000 Btu/h (5.4 tons)</t>
  </si>
  <si>
    <t>Split AC Units - Evaporatively Cooled GTE 65,000 Btu/h (5.4 tons) and LT 135,000 Btu/h (11.25 tons)</t>
  </si>
  <si>
    <t>Split AC Units - Evaporatively Cooled GTE 135,000 Btu/h (11.25 tons) and LT 240,000 Btu/h (20 tons)</t>
  </si>
  <si>
    <t>Split AC Units - Evaporatively Cooled GTE 240,000 Btu/h (20 tons) and LT 760,000 Btu/h (63.33 tons)</t>
  </si>
  <si>
    <t xml:space="preserve">Split AC Units - Evaporatively Cooled GTE 760,000 Btu/h (63.33 tons) </t>
  </si>
  <si>
    <t>Evaporatively Cooled - Single Package</t>
  </si>
  <si>
    <t>Packaged AC Units - Evaporatively Cooled LT 65,000 Btu/h (5.4 tons)</t>
  </si>
  <si>
    <t>Packaged AC Units - Evaporatively Cooled GTE 65,000 Btu/h (5.4 tons) and LT 135,000 Btu/h (11.25 tons)</t>
  </si>
  <si>
    <t>Packaged AC Units - Evaporatively Cooled GTE 135,000 Btu/h (11.25 tons) and LT 240,000 Btu/h (20 tons)</t>
  </si>
  <si>
    <t>Packaged AC Units - Evaporatively Cooled GTE 240,000 Btu/h (20 tons) and LT 760,000 Btu/h (63.33 tons)</t>
  </si>
  <si>
    <t xml:space="preserve">Packaged AC Units - Evaporatively Cooled GTE 760,000 Btu/h (63.33 tons) </t>
  </si>
  <si>
    <t>Max Capacity (less than)</t>
  </si>
  <si>
    <t>Min Capacity (greater than/equal to)</t>
  </si>
  <si>
    <t>Heating Section</t>
  </si>
  <si>
    <t>Heat Pump</t>
  </si>
  <si>
    <t>None</t>
  </si>
  <si>
    <t>Air Conditioners, Air Cooled</t>
  </si>
  <si>
    <t>Through the Wall (air cooled)</t>
  </si>
  <si>
    <t>Small duct high-velocity</t>
  </si>
  <si>
    <t>Air conditioners, Water Cooled</t>
  </si>
  <si>
    <t>PA TRM 2021  Section 3.2.1 p44-51</t>
  </si>
  <si>
    <t xml:space="preserve">   Old Equipment Information (if applicable)</t>
  </si>
  <si>
    <t>EER2 converted to EER for calculations</t>
  </si>
  <si>
    <t>HSPF2 converted to HSPF for calculations</t>
  </si>
  <si>
    <t>Total Demand Savings (Non Coincident kW)</t>
  </si>
  <si>
    <t>Hidden</t>
  </si>
  <si>
    <r>
      <t xml:space="preserve">Old System 
Age in Years
</t>
    </r>
    <r>
      <rPr>
        <sz val="8"/>
        <color theme="0"/>
        <rFont val="Tahoma"/>
        <family val="2"/>
      </rPr>
      <t>(if applicable)</t>
    </r>
  </si>
  <si>
    <r>
      <t xml:space="preserve">System
Cooling Efficiency SEER
</t>
    </r>
    <r>
      <rPr>
        <sz val="8"/>
        <color theme="0"/>
        <rFont val="Tahoma"/>
        <family val="2"/>
      </rPr>
      <t>(if applicable)</t>
    </r>
  </si>
  <si>
    <r>
      <t xml:space="preserve">System
 Cooling Efficiency EER
</t>
    </r>
    <r>
      <rPr>
        <sz val="8"/>
        <color theme="0"/>
        <rFont val="Tahoma"/>
        <family val="2"/>
      </rPr>
      <t>(if applicable)</t>
    </r>
  </si>
  <si>
    <r>
      <t xml:space="preserve">System
 Cooling Efficiency IEER
</t>
    </r>
    <r>
      <rPr>
        <sz val="8"/>
        <color theme="0"/>
        <rFont val="Tahoma"/>
        <family val="2"/>
      </rPr>
      <t>(if applicable)</t>
    </r>
  </si>
  <si>
    <r>
      <t xml:space="preserve">System
Heating Efficiency HSPF
</t>
    </r>
    <r>
      <rPr>
        <sz val="8"/>
        <color theme="0"/>
        <rFont val="Tahoma"/>
        <family val="2"/>
      </rPr>
      <t>(if applicable)</t>
    </r>
  </si>
  <si>
    <r>
      <t xml:space="preserve">System
Heating Efficiency COP
</t>
    </r>
    <r>
      <rPr>
        <sz val="8"/>
        <color theme="0"/>
        <rFont val="Tahoma"/>
        <family val="2"/>
      </rPr>
      <t>(if applicable)</t>
    </r>
  </si>
  <si>
    <r>
      <t xml:space="preserve">System Type*
</t>
    </r>
    <r>
      <rPr>
        <sz val="8"/>
        <color theme="0"/>
        <rFont val="Tahoma"/>
        <family val="2"/>
      </rPr>
      <t>(drop down menu)</t>
    </r>
  </si>
  <si>
    <t>Equipment Manufacturer</t>
  </si>
  <si>
    <t>Equipment 
Model Number</t>
  </si>
  <si>
    <t>Cooling Capacity (AHRI net) 
Btu/h</t>
  </si>
  <si>
    <r>
      <t xml:space="preserve">Cooling Capacity in Tons </t>
    </r>
    <r>
      <rPr>
        <sz val="8"/>
        <color theme="0"/>
        <rFont val="Tahoma"/>
        <family val="2"/>
      </rPr>
      <t>(calculated)</t>
    </r>
  </si>
  <si>
    <t>New System Cooling Efficiency*
(SEER2 for equipment &lt;65,000 btu/h)</t>
  </si>
  <si>
    <t>New System Full Load 
Cooling Efficiency*
(EER2)</t>
  </si>
  <si>
    <t>Heating Capacity*
(AHRI net) Btu/h</t>
  </si>
  <si>
    <r>
      <t xml:space="preserve">Heating Capacity in Tons </t>
    </r>
    <r>
      <rPr>
        <sz val="8"/>
        <color theme="0"/>
        <rFont val="Tahoma"/>
        <family val="2"/>
      </rPr>
      <t>(calculated)</t>
    </r>
  </si>
  <si>
    <t>New System Heating Efficiency*
(HSPF2/COP)</t>
  </si>
  <si>
    <t>Annual Cooling
Hours</t>
  </si>
  <si>
    <t>Annual Heating
Hours</t>
  </si>
  <si>
    <t>Base HSPF</t>
  </si>
  <si>
    <t>Base COP</t>
  </si>
  <si>
    <t>Minimum EER2</t>
  </si>
  <si>
    <t>Minimum HSPF2</t>
  </si>
  <si>
    <t>Minimum COP</t>
  </si>
  <si>
    <t>Cooling Savings (kWh)</t>
  </si>
  <si>
    <t>Heating Savings (kWh)</t>
  </si>
  <si>
    <t>AHRI Number</t>
  </si>
  <si>
    <t>Incentive Tier</t>
  </si>
  <si>
    <t>HSPF2 Baseline</t>
  </si>
  <si>
    <t>ExistHSPF</t>
  </si>
  <si>
    <t>ExistCOP</t>
  </si>
  <si>
    <t>Type4-FEPA</t>
  </si>
  <si>
    <t>NewHeatbtuh</t>
  </si>
  <si>
    <t>HSPF2</t>
  </si>
  <si>
    <t>HSPF2baseline</t>
  </si>
  <si>
    <t>Education - College/University</t>
  </si>
  <si>
    <t>Tier 2</t>
  </si>
  <si>
    <t>HSPFbase</t>
  </si>
  <si>
    <t>COPbase</t>
  </si>
  <si>
    <t>SEER2min</t>
  </si>
  <si>
    <t>EER2min</t>
  </si>
  <si>
    <t>HSPF2min</t>
  </si>
  <si>
    <t>COP</t>
  </si>
  <si>
    <t>Sizemin</t>
  </si>
  <si>
    <t>Sizemax</t>
  </si>
  <si>
    <t>CI-CO-PR-IT-AC-000004-01-FEPA-CI</t>
  </si>
  <si>
    <t>Heat Pumps - Air Source LT 65,000 Btu/h (5.4 tons) 16 SEER 8.2 HSPF</t>
  </si>
  <si>
    <t>Heat Pumps - Level 1 &lt;= 5.4 Tons</t>
  </si>
  <si>
    <t>Heat Pumps - Air Source LT 65,000 Btu/h (5.4 tons) 18 SEER 9.0 HSPF</t>
  </si>
  <si>
    <t>&gt; 65,000 Btu/h and &lt; 135,000 Btu/h</t>
  </si>
  <si>
    <t>Custom</t>
  </si>
  <si>
    <t>&gt; 135,000 Btu/h and &lt; 240,000 Btu/h</t>
  </si>
  <si>
    <t>&gt; 240,000 Btu/h</t>
  </si>
  <si>
    <t>System</t>
  </si>
  <si>
    <t>Replacement</t>
  </si>
  <si>
    <t>FROM GUIDELINES</t>
  </si>
  <si>
    <r>
      <t>SEER</t>
    </r>
    <r>
      <rPr>
        <b/>
        <i/>
        <vertAlign val="subscript"/>
        <sz val="9"/>
        <color rgb="FF000000"/>
        <rFont val="Arial"/>
        <family val="2"/>
      </rPr>
      <t>base</t>
    </r>
  </si>
  <si>
    <r>
      <t>EER</t>
    </r>
    <r>
      <rPr>
        <b/>
        <i/>
        <vertAlign val="subscript"/>
        <sz val="9"/>
        <color rgb="FF000000"/>
        <rFont val="Arial"/>
        <family val="2"/>
      </rPr>
      <t>base</t>
    </r>
  </si>
  <si>
    <r>
      <t>HSPF</t>
    </r>
    <r>
      <rPr>
        <b/>
        <i/>
        <vertAlign val="subscript"/>
        <sz val="9"/>
        <color rgb="FF000000"/>
        <rFont val="Arial"/>
        <family val="2"/>
      </rPr>
      <t>base</t>
    </r>
  </si>
  <si>
    <t>ASHP – Split System</t>
  </si>
  <si>
    <t>ASHP – Package Unit</t>
  </si>
  <si>
    <t>PA TRM 2021 Section 3.2.3 p58-66</t>
  </si>
  <si>
    <t xml:space="preserve">   Facility/Project Information</t>
  </si>
  <si>
    <t>Air Source Baseline</t>
  </si>
  <si>
    <t>Program Minimum Required</t>
  </si>
  <si>
    <t>Total Cooling Demand Savings (kW)</t>
  </si>
  <si>
    <t>Total Pump Demand Savings (kW)</t>
  </si>
  <si>
    <t>Total Demand Savings (non coincident)</t>
  </si>
  <si>
    <r>
      <t xml:space="preserve">Old Heating System Type
</t>
    </r>
    <r>
      <rPr>
        <sz val="8"/>
        <color theme="0"/>
        <rFont val="Tahoma"/>
        <family val="2"/>
      </rPr>
      <t>(if applicable)</t>
    </r>
  </si>
  <si>
    <r>
      <t xml:space="preserve">Old System
 Full-Load Cooling Efficiency SEER or EER
</t>
    </r>
    <r>
      <rPr>
        <sz val="8"/>
        <color theme="0"/>
        <rFont val="Tahoma"/>
        <family val="2"/>
      </rPr>
      <t>(if applicable)</t>
    </r>
  </si>
  <si>
    <r>
      <t xml:space="preserve">Old System
 Part-Load Cooling Efficiency IEER
</t>
    </r>
    <r>
      <rPr>
        <sz val="8"/>
        <color theme="0"/>
        <rFont val="Tahoma"/>
        <family val="2"/>
      </rPr>
      <t>(if applicable)</t>
    </r>
  </si>
  <si>
    <r>
      <t xml:space="preserve">Old System
Heating Efficiency HSPF
</t>
    </r>
    <r>
      <rPr>
        <sz val="8"/>
        <color theme="0"/>
        <rFont val="Tahoma"/>
        <family val="2"/>
      </rPr>
      <t>(if applicable)</t>
    </r>
  </si>
  <si>
    <r>
      <t xml:space="preserve">Old System
Heating Efficiency COP
</t>
    </r>
    <r>
      <rPr>
        <sz val="8"/>
        <color theme="0"/>
        <rFont val="Tahoma"/>
        <family val="2"/>
      </rPr>
      <t>(if applicable)</t>
    </r>
  </si>
  <si>
    <t>Old Water Loop Pump Information (if applicable)</t>
  </si>
  <si>
    <t>Equipment Cost (excluding Labor)*</t>
  </si>
  <si>
    <r>
      <t xml:space="preserve">New System Type*
</t>
    </r>
    <r>
      <rPr>
        <sz val="8"/>
        <color theme="0"/>
        <rFont val="Tahoma"/>
        <family val="2"/>
      </rPr>
      <t>(drop down menu)</t>
    </r>
  </si>
  <si>
    <t>HVAC 
Unit ID</t>
  </si>
  <si>
    <t>Cooling Capacity*
(AHRI net) 
Btu/h</t>
  </si>
  <si>
    <t>Heating Capacity* (AHRI net) 
Btu/h</t>
  </si>
  <si>
    <r>
      <t xml:space="preserve">Heating Capacity in Tons 
</t>
    </r>
    <r>
      <rPr>
        <sz val="8"/>
        <color theme="0"/>
        <rFont val="Tahoma"/>
        <family val="2"/>
      </rPr>
      <t>(calculated)</t>
    </r>
  </si>
  <si>
    <t>New System Cooling Efficiency*</t>
  </si>
  <si>
    <r>
      <t xml:space="preserve">New Part-Load Cooling Efficiency* IEER 
</t>
    </r>
    <r>
      <rPr>
        <sz val="8"/>
        <color theme="0"/>
        <rFont val="Tahoma"/>
        <family val="2"/>
      </rPr>
      <t>(if known)</t>
    </r>
  </si>
  <si>
    <t>New System Heating Efficiency*</t>
  </si>
  <si>
    <t>New Water Loop Pump Information (if applicable)</t>
  </si>
  <si>
    <t>Pump
Hours</t>
  </si>
  <si>
    <t xml:space="preserve">Air Source Baseline? </t>
  </si>
  <si>
    <r>
      <t xml:space="preserve"> Peak Cooling Demand Savings (kW</t>
    </r>
    <r>
      <rPr>
        <b/>
        <sz val="8"/>
        <color indexed="9"/>
        <rFont val="Tahoma"/>
        <family val="2"/>
      </rPr>
      <t>)</t>
    </r>
  </si>
  <si>
    <r>
      <t>Peak Pump Demand Savings (kW</t>
    </r>
    <r>
      <rPr>
        <b/>
        <sz val="8"/>
        <color indexed="9"/>
        <rFont val="Tahoma"/>
        <family val="2"/>
      </rPr>
      <t>)</t>
    </r>
  </si>
  <si>
    <t>Pump Savings (kWh)</t>
  </si>
  <si>
    <r>
      <t xml:space="preserve">Motor HP 
</t>
    </r>
    <r>
      <rPr>
        <sz val="7.5"/>
        <color theme="0"/>
        <rFont val="Tahoma"/>
        <family val="2"/>
      </rPr>
      <t>(drop down menu)</t>
    </r>
  </si>
  <si>
    <r>
      <t xml:space="preserve">Motor Type 
</t>
    </r>
    <r>
      <rPr>
        <sz val="7.5"/>
        <color theme="0"/>
        <rFont val="Tahoma"/>
        <family val="2"/>
      </rPr>
      <t>(drop down menu)</t>
    </r>
  </si>
  <si>
    <r>
      <t xml:space="preserve">Speed (RPM)
</t>
    </r>
    <r>
      <rPr>
        <sz val="7.5"/>
        <color theme="0"/>
        <rFont val="Tahoma"/>
        <family val="2"/>
      </rPr>
      <t>(drop down menu)</t>
    </r>
  </si>
  <si>
    <t>Motor Load Factor</t>
  </si>
  <si>
    <t>Motor Efficiency</t>
  </si>
  <si>
    <t>Pump Efficiency</t>
  </si>
  <si>
    <r>
      <t xml:space="preserve">Speed (RPM) 
</t>
    </r>
    <r>
      <rPr>
        <sz val="7.5"/>
        <color theme="0"/>
        <rFont val="Tahoma"/>
        <family val="2"/>
      </rPr>
      <t>(drop down menu)</t>
    </r>
  </si>
  <si>
    <t>Base Pump HP</t>
  </si>
  <si>
    <t>Base Motor Load Factor</t>
  </si>
  <si>
    <t>Base Motor Efficiency</t>
  </si>
  <si>
    <t>Base Pump Efficiency</t>
  </si>
  <si>
    <t>Proposed Motor Load Factor</t>
  </si>
  <si>
    <t>Proposed Motor Efficiency</t>
  </si>
  <si>
    <t>Proposed Pump Efficiency</t>
  </si>
  <si>
    <t>Minimum Required</t>
  </si>
  <si>
    <t>Ground Source Heat Pumps  - Also known as ground coupled heat pumps, utilize a closed loop that runs through the ground to transfer heat</t>
  </si>
  <si>
    <t>ExistHeatType</t>
  </si>
  <si>
    <t>ExistMotorHP</t>
  </si>
  <si>
    <t>ExistMotorType</t>
  </si>
  <si>
    <t>ExistMotorSpeed</t>
  </si>
  <si>
    <t>ExistMotorLoad</t>
  </si>
  <si>
    <t>ExistMotorEfficiency</t>
  </si>
  <si>
    <t>ExistPumpEfficiency</t>
  </si>
  <si>
    <t>NewSysTypeFEPA</t>
  </si>
  <si>
    <t>NewHSPFCOP</t>
  </si>
  <si>
    <t>NewMotorHP</t>
  </si>
  <si>
    <t>NewMotorType</t>
  </si>
  <si>
    <t>NewMotorSpeed</t>
  </si>
  <si>
    <t>NewMotorLoad</t>
  </si>
  <si>
    <t>NewMotorEfficiency</t>
  </si>
  <si>
    <t>NewPumpEfficiency</t>
  </si>
  <si>
    <t>Water Source Heat Pumps  - Also known as ground coupled heat pumps, utilize a closed loop that runs through the ground to transfer heat</t>
  </si>
  <si>
    <t>WSHP, GSHP and GWSHP Baseline [IECC 2015]</t>
  </si>
  <si>
    <t>Program Minimum Efficiencies (5% above code)</t>
  </si>
  <si>
    <t>Heat Pump Technology</t>
  </si>
  <si>
    <t>Capacity</t>
  </si>
  <si>
    <t>EERMin</t>
  </si>
  <si>
    <t>COPMin</t>
  </si>
  <si>
    <t>Water to Air: Water Loop</t>
  </si>
  <si>
    <t>&lt; 17,000 Btu/h (1.42 tons)</t>
  </si>
  <si>
    <t>CI-CO-PR-IT-AC-000005-01-FEPA-CI</t>
  </si>
  <si>
    <t>Heat Pumps - Water Source LT 17,000 Btu/h (1.42 tons)</t>
  </si>
  <si>
    <t>Heat Pumps - Water and Geothermal - Energy Star Tier 3</t>
  </si>
  <si>
    <t>≥ 17,000 Btu/h (1.42 tons) and &lt; 135,000 Btu/h (11.25 tons)</t>
  </si>
  <si>
    <t>Heat Pumps - Water Source GTE 17,000 Btu/h (1.42 tons)</t>
  </si>
  <si>
    <t>Water to Water: Water Loop</t>
  </si>
  <si>
    <t>Brine to Air: Ground Loop</t>
  </si>
  <si>
    <t>Heat Pumps - Ground Source LT 135,000 Btu/h (11.25 tons)</t>
  </si>
  <si>
    <t>Brine to Water: Ground Loop</t>
  </si>
  <si>
    <t xml:space="preserve">Water to Air: Ground Water </t>
  </si>
  <si>
    <t>Heat Pumps - Ground Water Source LT 135,000 Btu/h (11.25 tons)</t>
  </si>
  <si>
    <t>Water to Water: Ground Water</t>
  </si>
  <si>
    <t>ASHP baseline for new construction and replacement of non water source, ground source and ground water source heat pumps.</t>
  </si>
  <si>
    <t>IEER</t>
  </si>
  <si>
    <t>HSPF</t>
  </si>
  <si>
    <t>Air Source</t>
  </si>
  <si>
    <t xml:space="preserve">&lt; 65,000 Btu/h (5 tons) </t>
  </si>
  <si>
    <t>≥ 65,000 Btu/h (5 tons)  and &lt; 135,000 Btu/h (11.25 tons)</t>
  </si>
  <si>
    <t>Pump Motor Type</t>
  </si>
  <si>
    <t>Pump Motor Speed</t>
  </si>
  <si>
    <t>Air Source Baseline?</t>
  </si>
  <si>
    <t>TEFC</t>
  </si>
  <si>
    <t>Air Source Heat Pump</t>
  </si>
  <si>
    <t>ODP</t>
  </si>
  <si>
    <t>Water Source Heat Pump</t>
  </si>
  <si>
    <t>Ground Source Heat Pump</t>
  </si>
  <si>
    <t>Ground Water Source Heat Pump</t>
  </si>
  <si>
    <t>Gas Furnace or Boiler</t>
  </si>
  <si>
    <t>Other</t>
  </si>
  <si>
    <t>No Heat</t>
  </si>
  <si>
    <t>Motor HP</t>
  </si>
  <si>
    <r>
      <t xml:space="preserve">Pump Eff. </t>
    </r>
    <r>
      <rPr>
        <b/>
        <sz val="11"/>
        <color theme="0" tint="-0.34998626667073579"/>
        <rFont val="Calibri"/>
        <family val="2"/>
      </rPr>
      <t>ƞpump</t>
    </r>
  </si>
  <si>
    <t>Motor Type</t>
  </si>
  <si>
    <t>Motor Speed</t>
  </si>
  <si>
    <t>Efficiency</t>
  </si>
  <si>
    <t xml:space="preserve">   New Equipment Information</t>
  </si>
  <si>
    <r>
      <t xml:space="preserve">Old Cooling System replaced by new Ductless Mini-Split 
</t>
    </r>
    <r>
      <rPr>
        <sz val="8"/>
        <color theme="0"/>
        <rFont val="Tahoma"/>
        <family val="2"/>
      </rPr>
      <t>(if applicable)</t>
    </r>
  </si>
  <si>
    <r>
      <t xml:space="preserve">Old Heating System replaced by new Ductless Mini-Split 
</t>
    </r>
    <r>
      <rPr>
        <sz val="8"/>
        <color theme="0"/>
        <rFont val="Tahoma"/>
        <family val="2"/>
      </rPr>
      <t>(if applicable)</t>
    </r>
  </si>
  <si>
    <t>New Equipment Model Number</t>
  </si>
  <si>
    <t>Cooling Capacity* 
(AHRI net)
Btu/h</t>
  </si>
  <si>
    <t>Heating Capacity*
(AHRI net)
Btu/h</t>
  </si>
  <si>
    <r>
      <t xml:space="preserve">Ductless Mini-Split System Type*
</t>
    </r>
    <r>
      <rPr>
        <sz val="8"/>
        <color theme="0"/>
        <rFont val="Tahoma"/>
        <family val="2"/>
      </rPr>
      <t>(drop down menu)</t>
    </r>
  </si>
  <si>
    <t>Annual Hours Cooling</t>
  </si>
  <si>
    <t>Annual Hours Heating</t>
  </si>
  <si>
    <r>
      <t>SEER</t>
    </r>
    <r>
      <rPr>
        <b/>
        <vertAlign val="subscript"/>
        <sz val="8"/>
        <color theme="0"/>
        <rFont val="Tahoma"/>
        <family val="2"/>
      </rPr>
      <t>base</t>
    </r>
  </si>
  <si>
    <r>
      <t>HSPF</t>
    </r>
    <r>
      <rPr>
        <b/>
        <vertAlign val="subscript"/>
        <sz val="8"/>
        <color theme="0"/>
        <rFont val="Tahoma"/>
        <family val="2"/>
      </rPr>
      <t>base</t>
    </r>
  </si>
  <si>
    <t>New System Cooling Efficiency* (EER2)</t>
  </si>
  <si>
    <t>New System Cooling Efficiency* (SEER2)</t>
  </si>
  <si>
    <t>New System Heating Efficiency* (HSPF2)</t>
  </si>
  <si>
    <t>Total Demand Savings (kW)</t>
  </si>
  <si>
    <r>
      <t>ΔkWh</t>
    </r>
    <r>
      <rPr>
        <b/>
        <vertAlign val="subscript"/>
        <sz val="8"/>
        <color theme="0"/>
        <rFont val="Tahoma"/>
        <family val="2"/>
      </rPr>
      <t>cool</t>
    </r>
  </si>
  <si>
    <r>
      <t>ΔkWh</t>
    </r>
    <r>
      <rPr>
        <b/>
        <vertAlign val="subscript"/>
        <sz val="8"/>
        <color theme="0"/>
        <rFont val="Tahoma"/>
        <family val="2"/>
      </rPr>
      <t>heat</t>
    </r>
  </si>
  <si>
    <t>Equipment Eligible for Incentives?</t>
  </si>
  <si>
    <t>ExistCoolType2FEPA</t>
  </si>
  <si>
    <t>ExistHeatType2FEPA</t>
  </si>
  <si>
    <t>DuctType</t>
  </si>
  <si>
    <t>EER2</t>
  </si>
  <si>
    <t>Ductless Mini-Split Heat Pumps</t>
  </si>
  <si>
    <t>Air Source Heat Pump - Split System</t>
  </si>
  <si>
    <t>Single Zone</t>
  </si>
  <si>
    <t>Grocery</t>
  </si>
  <si>
    <t>Air Source Heat Pump - Package Unit</t>
  </si>
  <si>
    <t>Base Cooling Type</t>
  </si>
  <si>
    <t>Ductless Mini Split Heat Pump</t>
  </si>
  <si>
    <t>Program Minimums</t>
  </si>
  <si>
    <t>Reporting Category</t>
  </si>
  <si>
    <t>Incentive Units</t>
  </si>
  <si>
    <t>Ductless Mini-Split HP</t>
  </si>
  <si>
    <t>$/ton</t>
  </si>
  <si>
    <t>CI-CO-PR-IT-AC-000006-01-FEPA-CI</t>
  </si>
  <si>
    <t>Heat Pumps - Single Zone Ductless Mini-Split</t>
  </si>
  <si>
    <t>Ductless Mini-Split Heat Pump - Level 3</t>
  </si>
  <si>
    <t>Central AC</t>
  </si>
  <si>
    <t>Multi Zone</t>
  </si>
  <si>
    <t>Heat Pumps - Multi Zone Ductless Mini-Split</t>
  </si>
  <si>
    <t>Installation Type</t>
  </si>
  <si>
    <t>Early Replacement</t>
  </si>
  <si>
    <t>Uncooled</t>
  </si>
  <si>
    <t>New Installation</t>
  </si>
  <si>
    <t>Existing Heating Type</t>
  </si>
  <si>
    <t>Row</t>
  </si>
  <si>
    <t xml:space="preserve">PTHP </t>
  </si>
  <si>
    <t>Electric Furnace</t>
  </si>
  <si>
    <t>Non-Electric Heat</t>
  </si>
  <si>
    <t xml:space="preserve">PA TRM 2021 Section 3.2.1 p260-269 </t>
  </si>
  <si>
    <t xml:space="preserve">  Facility/Project Information</t>
  </si>
  <si>
    <r>
      <t xml:space="preserve">Facility Type*
</t>
    </r>
    <r>
      <rPr>
        <sz val="8"/>
        <color theme="0"/>
        <rFont val="Tahoma"/>
        <family val="2"/>
      </rPr>
      <t>(Drop Down Menu)</t>
    </r>
  </si>
  <si>
    <r>
      <t>Existing Equipment Age in Years</t>
    </r>
    <r>
      <rPr>
        <sz val="8"/>
        <color theme="0"/>
        <rFont val="Tahoma"/>
        <family val="2"/>
      </rPr>
      <t xml:space="preserve">
(if applicable)</t>
    </r>
  </si>
  <si>
    <r>
      <t xml:space="preserve">Existing Equipment Cooling Efficiency (EER)
</t>
    </r>
    <r>
      <rPr>
        <sz val="8"/>
        <color theme="0"/>
        <rFont val="Tahoma"/>
        <family val="2"/>
      </rPr>
      <t>(if applicable)</t>
    </r>
  </si>
  <si>
    <t>Cooling Capacity*
Btu/h</t>
  </si>
  <si>
    <t>EERretro</t>
  </si>
  <si>
    <t>EERnewconst</t>
  </si>
  <si>
    <t>Actual Code EERbase (retro or NC)</t>
  </si>
  <si>
    <t>Actual Baseline EER (code or existing)</t>
  </si>
  <si>
    <t>Minimum Required EERretrofit</t>
  </si>
  <si>
    <t>Minimum Required EERnewconst</t>
  </si>
  <si>
    <t>New System Cooling Efficiency* EER for units &lt;65,000 btu/h)</t>
  </si>
  <si>
    <r>
      <t>Total Demand Savings (kW</t>
    </r>
    <r>
      <rPr>
        <b/>
        <sz val="9"/>
        <color indexed="9"/>
        <rFont val="Tahoma"/>
        <family val="2"/>
      </rPr>
      <t>)</t>
    </r>
  </si>
  <si>
    <t>NewEER</t>
  </si>
  <si>
    <t>Packaged Terminal Air Conditioner</t>
  </si>
  <si>
    <t>Table 3-26: HVAC Baseline Efficiencies</t>
  </si>
  <si>
    <t>Program Minimum Required Efficiencies (7.5% above code)</t>
  </si>
  <si>
    <t>EERretrofit</t>
  </si>
  <si>
    <t>EERnewconstruction</t>
  </si>
  <si>
    <t>PTAC (all capacities) - equation</t>
  </si>
  <si>
    <t>10.9-(0.213*Cap/1000)</t>
  </si>
  <si>
    <t>14-(0.3*Cap/1000)</t>
  </si>
  <si>
    <t>11.7175-(0.228975*Cap/1000)</t>
  </si>
  <si>
    <t>15.05-(0.3225*Cap/1000)</t>
  </si>
  <si>
    <t>Installation Types</t>
  </si>
  <si>
    <t>PTAC (all capacities) - intercept</t>
  </si>
  <si>
    <t>Per Ton</t>
  </si>
  <si>
    <t>CI-CO-PR-IT-AC-000007-01-FEPA-CI</t>
  </si>
  <si>
    <t>PTAC (all capacities) - multiplier</t>
  </si>
  <si>
    <t>AJUSTED</t>
  </si>
  <si>
    <r>
      <t xml:space="preserve">Old Equipment Age in Years
</t>
    </r>
    <r>
      <rPr>
        <sz val="8"/>
        <color theme="0"/>
        <rFont val="Tahoma"/>
        <family val="2"/>
      </rPr>
      <t>(if applicable)</t>
    </r>
  </si>
  <si>
    <r>
      <t xml:space="preserve">Old Equipment Cooling Efficiency (EER)
</t>
    </r>
    <r>
      <rPr>
        <sz val="8"/>
        <color theme="0"/>
        <rFont val="Tahoma"/>
        <family val="2"/>
      </rPr>
      <t>(if applicable)</t>
    </r>
  </si>
  <si>
    <r>
      <t xml:space="preserve">Old Equipment Heating Efficiency (COP)
</t>
    </r>
    <r>
      <rPr>
        <sz val="8"/>
        <color theme="0"/>
        <rFont val="Tahoma"/>
        <family val="2"/>
      </rPr>
      <t>(if applicable)</t>
    </r>
  </si>
  <si>
    <t>Cooling Capacity* 
Btu/h</t>
  </si>
  <si>
    <t>Heating Capacity* 
Btu/h</t>
  </si>
  <si>
    <t>Annual Cooling Hours</t>
  </si>
  <si>
    <t>Annual Heating Hours</t>
  </si>
  <si>
    <t>Cooling Cap/1000</t>
  </si>
  <si>
    <t>Heating Cap/1000</t>
  </si>
  <si>
    <t>COP
retrofit</t>
  </si>
  <si>
    <t>COP
newconst</t>
  </si>
  <si>
    <t>Actual Code COPbase (retro or NC)</t>
  </si>
  <si>
    <t>Actual Baseline COP (code or existing)</t>
  </si>
  <si>
    <t>Minimum Required COPretrofit</t>
  </si>
  <si>
    <t>Minimum Required COPnewconstr</t>
  </si>
  <si>
    <t>New System Heating Efficiency* (COP for units &lt;65,000 btu/h)</t>
  </si>
  <si>
    <r>
      <t>Cooling Demand Savings (kW</t>
    </r>
    <r>
      <rPr>
        <b/>
        <sz val="9"/>
        <color indexed="9"/>
        <rFont val="Calibri"/>
        <family val="2"/>
      </rPr>
      <t>)</t>
    </r>
  </si>
  <si>
    <t>Heating Demand Savings (kW)</t>
  </si>
  <si>
    <r>
      <t>Cooling Savings (kW</t>
    </r>
    <r>
      <rPr>
        <b/>
        <sz val="9"/>
        <color indexed="9"/>
        <rFont val="Calibri"/>
        <family val="2"/>
      </rPr>
      <t>)</t>
    </r>
  </si>
  <si>
    <t>Heating Savings (kW)</t>
  </si>
  <si>
    <t>Total kW Savings</t>
  </si>
  <si>
    <r>
      <t>Total Demand Savings (kW</t>
    </r>
    <r>
      <rPr>
        <b/>
        <sz val="9"/>
        <color indexed="9"/>
        <rFont val="Calibri"/>
        <family val="2"/>
      </rPr>
      <t>)</t>
    </r>
  </si>
  <si>
    <t>Cooling Energy Savings 
per unit (kWh)</t>
  </si>
  <si>
    <t>Heating Energy Savings (kWh)</t>
  </si>
  <si>
    <t>NewCOP</t>
  </si>
  <si>
    <t>Packaged Terminal Heat Pump</t>
  </si>
  <si>
    <t>COPretrofit</t>
  </si>
  <si>
    <t>COPnewconstruction</t>
  </si>
  <si>
    <t>Packaged Terminal Heat Pump (all capacities) - equation</t>
  </si>
  <si>
    <t>10.8-(0.213*Cap/1000)</t>
  </si>
  <si>
    <t>2.9-(0.026*Cap/1000)</t>
  </si>
  <si>
    <t>11.61-(0.228975*Cap/1000)</t>
  </si>
  <si>
    <t>3.1175-(0.02795*Cap/1000)</t>
  </si>
  <si>
    <t>Packaged Terminal Heat Pump (all capacities) - intercept</t>
  </si>
  <si>
    <t>CI-CO-PR-IT-AC-000008-01-FEPA-CI</t>
  </si>
  <si>
    <t>Packaged Terminal Heat Pump (all capacities) - multiplier</t>
  </si>
  <si>
    <t>PA TRM 2021</t>
  </si>
  <si>
    <t>C&amp;I p 80 &amp; Res p 35</t>
  </si>
  <si>
    <t xml:space="preserve">   ENERGY STAR® Window Air Conditioners</t>
  </si>
  <si>
    <t>Return to Project Summary</t>
  </si>
  <si>
    <t>Eligible window air conditioners must be ENERGY STAR certified and be used only for comfort cooling applications. Units must be CEE Tier II and meet version 4.1 of the Federal standard for window air conditioners with a CEER ≥10.2. New installations and replacement projects are eligible.</t>
  </si>
  <si>
    <t>Line</t>
  </si>
  <si>
    <t>Building Type</t>
  </si>
  <si>
    <t>Zip Code of the Facility</t>
  </si>
  <si>
    <t>Cooling Capacity (Btu/h)</t>
  </si>
  <si>
    <t>Room AC Type</t>
  </si>
  <si>
    <t>Does the new unit have louvered sides?</t>
  </si>
  <si>
    <r>
      <t xml:space="preserve">Existing Efficiency 
</t>
    </r>
    <r>
      <rPr>
        <b/>
        <sz val="9"/>
        <color indexed="9"/>
        <rFont val="Calibri"/>
        <family val="2"/>
      </rPr>
      <t>(CEER or EER) leave blank if unknown</t>
    </r>
  </si>
  <si>
    <r>
      <t xml:space="preserve">Proposed Efficiency 
</t>
    </r>
    <r>
      <rPr>
        <b/>
        <sz val="9"/>
        <color indexed="9"/>
        <rFont val="Calibri"/>
        <family val="2"/>
      </rPr>
      <t>(CEER or EER) leave blank if unknown</t>
    </r>
  </si>
  <si>
    <t>Capacity Range Finder (BTU/h) Part A</t>
  </si>
  <si>
    <t>Capacity Range Finder (BTU/h) Part B</t>
  </si>
  <si>
    <t>Base HVAC Unit Type</t>
  </si>
  <si>
    <t>EERee</t>
  </si>
  <si>
    <t xml:space="preserve">EFLH </t>
  </si>
  <si>
    <t>EFLH RAC:CAC</t>
  </si>
  <si>
    <t>CF</t>
  </si>
  <si>
    <t>Energy Savings per unit (kWh)</t>
  </si>
  <si>
    <t>Demand Reductions per unit (kW)</t>
  </si>
  <si>
    <t>Location</t>
  </si>
  <si>
    <t>Total Demand Reductions (kW)</t>
  </si>
  <si>
    <t>Does this measure qualify?</t>
  </si>
  <si>
    <t>InstallType4FEPA</t>
  </si>
  <si>
    <t>RoomBldTypeFEPA</t>
  </si>
  <si>
    <t>RoomTypeFEPA</t>
  </si>
  <si>
    <t>Louve</t>
  </si>
  <si>
    <t>Room Air Conditioner</t>
  </si>
  <si>
    <t>CI-CO-PR-IT-AC-000009-01-FEPA-CI</t>
  </si>
  <si>
    <t>Yes</t>
  </si>
  <si>
    <t>Program Min. Eff Requirements</t>
  </si>
  <si>
    <t>CEER Defaults Energy Star® Version 4.1 Standards</t>
  </si>
  <si>
    <t>Air Conditioner EFLH by City and Building Type (Table 3-27 from PA TRM 2021, C&amp;I p 49)</t>
  </si>
  <si>
    <t xml:space="preserve">Energy Star® </t>
  </si>
  <si>
    <t>Louvered Sides</t>
  </si>
  <si>
    <t>Without Louvered Sides</t>
  </si>
  <si>
    <t>Space and/or Building Type</t>
  </si>
  <si>
    <t>Allentown</t>
  </si>
  <si>
    <t>Binghamton</t>
  </si>
  <si>
    <t>Bradford</t>
  </si>
  <si>
    <t>Erie</t>
  </si>
  <si>
    <t>Harrisburg</t>
  </si>
  <si>
    <t>Philadelphia</t>
  </si>
  <si>
    <t>Pittsburgh</t>
  </si>
  <si>
    <t>Scranton</t>
  </si>
  <si>
    <t>Williamsport</t>
  </si>
  <si>
    <t>Product Type</t>
  </si>
  <si>
    <t>Capacity (Btu/h)</t>
  </si>
  <si>
    <t>Federal Standard with louvered sides (CEER)</t>
  </si>
  <si>
    <t>Federal Standard without louvered sides (CEER)</t>
  </si>
  <si>
    <t>ENERGY STAR with louvered sides (CEER)</t>
  </si>
  <si>
    <t>ENERGY STAR without louvered sides (CEER)</t>
  </si>
  <si>
    <t>HVAC Product Type Selector</t>
  </si>
  <si>
    <t>Louvered Sides?</t>
  </si>
  <si>
    <t>Without Reverse Cycle</t>
  </si>
  <si>
    <t>&lt; 6,000</t>
  </si>
  <si>
    <t>6,000 to 7,999</t>
  </si>
  <si>
    <t>With Reverse Cycle</t>
  </si>
  <si>
    <t>No</t>
  </si>
  <si>
    <t>8,000 to 10,999</t>
  </si>
  <si>
    <t>Health - Hospital</t>
  </si>
  <si>
    <t>Casement Only</t>
  </si>
  <si>
    <t>11,000 to 13,999</t>
  </si>
  <si>
    <t>Health - Other</t>
  </si>
  <si>
    <t>Casement-Slider</t>
  </si>
  <si>
    <t>14,000 to 19,999</t>
  </si>
  <si>
    <t>Industrial Manufacturing</t>
  </si>
  <si>
    <t>20,000 to 24,999</t>
  </si>
  <si>
    <t>Institutional/Public Service</t>
  </si>
  <si>
    <t>25,000 to 27,999</t>
  </si>
  <si>
    <t>Lodging</t>
  </si>
  <si>
    <t>≥ 28,000</t>
  </si>
  <si>
    <t>Multifamily (Common Areas)</t>
  </si>
  <si>
    <t>Office</t>
  </si>
  <si>
    <t>Restaurant</t>
  </si>
  <si>
    <t>Retail</t>
  </si>
  <si>
    <t>Years</t>
  </si>
  <si>
    <t>Warehouse - Other</t>
  </si>
  <si>
    <t>Res Air Conditioner EFLH by City, PA TRM 2021 Appendix A</t>
  </si>
  <si>
    <t>Warehouse - Refrigerated</t>
  </si>
  <si>
    <t>Reference Location</t>
  </si>
  <si>
    <t>EFLH_RAC or secondary zone EFLH_cool</t>
  </si>
  <si>
    <t>EFLH RAC:CAC conversion</t>
  </si>
  <si>
    <t>Binghamton, NY</t>
  </si>
  <si>
    <t>Air Conditioner Demand CF by City and Building Type (Table 3-28 from PA TRM 2021, p 50)</t>
  </si>
  <si>
    <t>Equipment Information</t>
  </si>
  <si>
    <t>Thermostat Manufacturer*</t>
  </si>
  <si>
    <t>Thermostat Model Number*</t>
  </si>
  <si>
    <t>Heating Capacity of Heat Pump System Btu/h (if applicable)</t>
  </si>
  <si>
    <t>Heating Capacity of Electric Furnace System Btu/h (if applicable)</t>
  </si>
  <si>
    <t>ENERGY STAR ID</t>
  </si>
  <si>
    <t>SEER of Cooling Equipment</t>
  </si>
  <si>
    <t>Heating Cap/1000 (Heat pump)</t>
  </si>
  <si>
    <t>Heating Cap/1000 (elec furnace)</t>
  </si>
  <si>
    <t>ESFcool</t>
  </si>
  <si>
    <t>ESFheat</t>
  </si>
  <si>
    <t>Effduct</t>
  </si>
  <si>
    <t>kWhcool</t>
  </si>
  <si>
    <t>Dfelec Resistance</t>
  </si>
  <si>
    <t>kWh heat (heat pump)</t>
  </si>
  <si>
    <t>kWh heat (elec resistance)</t>
  </si>
  <si>
    <t>Motor Horsepower</t>
  </si>
  <si>
    <t>kWh heat (gas furnace)</t>
  </si>
  <si>
    <t>PDSF (peak demand savings factor relative to ESFcool)</t>
  </si>
  <si>
    <t>Existing Thermostat Control Type*</t>
  </si>
  <si>
    <t>Cooling System Type*</t>
  </si>
  <si>
    <t>Heating System Type*</t>
  </si>
  <si>
    <t>EER of Cooling Equipment</t>
  </si>
  <si>
    <t>HSPF of Heat Pump (if applicable)</t>
  </si>
  <si>
    <t>Gas Furnace Blower motor horsepower</t>
  </si>
  <si>
    <t>Efficiency of furnace blower motor</t>
  </si>
  <si>
    <t>ReplType</t>
  </si>
  <si>
    <t>HPHeatbtuh</t>
  </si>
  <si>
    <t>FurnHeatbtu</t>
  </si>
  <si>
    <t>energystar</t>
  </si>
  <si>
    <t>HP</t>
  </si>
  <si>
    <t>Effb</t>
  </si>
  <si>
    <t>Smart Thermostat</t>
  </si>
  <si>
    <t>CI-CO-PR-IT-CT-000001-01-FEPA-CI</t>
  </si>
  <si>
    <t>Coincident Factor</t>
  </si>
  <si>
    <r>
      <t>Baseline</t>
    </r>
    <r>
      <rPr>
        <sz val="9"/>
        <color rgb="FF000000"/>
        <rFont val="Arial"/>
        <family val="2"/>
      </rPr>
      <t> </t>
    </r>
  </si>
  <si>
    <r>
      <t>Cooling ESF</t>
    </r>
    <r>
      <rPr>
        <sz val="9"/>
        <color rgb="FF000000"/>
        <rFont val="Arial"/>
        <family val="2"/>
      </rPr>
      <t> </t>
    </r>
  </si>
  <si>
    <r>
      <t>Heating ESF</t>
    </r>
    <r>
      <rPr>
        <sz val="9"/>
        <color rgb="FF000000"/>
        <rFont val="Arial"/>
        <family val="2"/>
      </rPr>
      <t> </t>
    </r>
  </si>
  <si>
    <t>Manual </t>
  </si>
  <si>
    <t>Conventional programmable </t>
  </si>
  <si>
    <t>Unknown</t>
  </si>
  <si>
    <r>
      <t>Term</t>
    </r>
    <r>
      <rPr>
        <sz val="9"/>
        <rFont val="Arial"/>
        <family val="2"/>
      </rPr>
      <t> </t>
    </r>
  </si>
  <si>
    <r>
      <t>Unit</t>
    </r>
    <r>
      <rPr>
        <sz val="9"/>
        <rFont val="Arial"/>
        <family val="2"/>
      </rPr>
      <t> </t>
    </r>
  </si>
  <si>
    <r>
      <t>Value</t>
    </r>
    <r>
      <rPr>
        <sz val="9"/>
        <rFont val="Arial"/>
        <family val="2"/>
      </rPr>
      <t> </t>
    </r>
  </si>
  <si>
    <r>
      <t>Sources</t>
    </r>
    <r>
      <rPr>
        <sz val="9"/>
        <rFont val="Arial"/>
        <family val="2"/>
      </rPr>
      <t> </t>
    </r>
  </si>
  <si>
    <r>
      <t>CAPY</t>
    </r>
    <r>
      <rPr>
        <i/>
        <vertAlign val="subscript"/>
        <sz val="7"/>
        <rFont val="Arial"/>
        <family val="2"/>
      </rPr>
      <t>cool</t>
    </r>
    <r>
      <rPr>
        <sz val="9"/>
        <rFont val="Arial"/>
        <family val="2"/>
      </rPr>
      <t>, Capacity of air conditioning unit </t>
    </r>
  </si>
  <si>
    <r>
      <t>kBTUh</t>
    </r>
    <r>
      <rPr>
        <sz val="11"/>
        <color rgb="FF000000"/>
        <rFont val="Segoe UI"/>
        <family val="2"/>
      </rPr>
      <t>kBTUh</t>
    </r>
  </si>
  <si>
    <t>EDC Data Gathering of </t>
  </si>
  <si>
    <t>EDC Data Gathering </t>
  </si>
  <si>
    <t>Nameplate data </t>
  </si>
  <si>
    <t>Default = 30 / unit </t>
  </si>
  <si>
    <t>6 </t>
  </si>
  <si>
    <r>
      <t>CAPY</t>
    </r>
    <r>
      <rPr>
        <i/>
        <vertAlign val="subscript"/>
        <sz val="7"/>
        <rFont val="Arial"/>
        <family val="2"/>
      </rPr>
      <t>HP</t>
    </r>
    <r>
      <rPr>
        <sz val="9"/>
        <rFont val="Arial"/>
        <family val="2"/>
      </rPr>
      <t>, Normal heat capacity of Heat Pump System.  </t>
    </r>
  </si>
  <si>
    <t>Nameplate Data </t>
  </si>
  <si>
    <t>Default = 32 / unit </t>
  </si>
  <si>
    <r>
      <t>CAPY</t>
    </r>
    <r>
      <rPr>
        <i/>
        <vertAlign val="subscript"/>
        <sz val="7"/>
        <rFont val="Arial"/>
        <family val="2"/>
      </rPr>
      <t>elecfurn</t>
    </r>
    <r>
      <rPr>
        <sz val="9"/>
        <rFont val="Arial"/>
        <family val="2"/>
      </rPr>
      <t>, Normal heat capacity of Electric Furnace systems </t>
    </r>
  </si>
  <si>
    <t>Default = 60.249 / unit </t>
  </si>
  <si>
    <r>
      <t>SEER</t>
    </r>
    <r>
      <rPr>
        <sz val="9"/>
        <rFont val="Arial"/>
        <family val="2"/>
      </rPr>
      <t>, Seasonal Energy Efficiency Ratio </t>
    </r>
  </si>
  <si>
    <r>
      <t>BTUW</t>
    </r>
    <r>
      <rPr>
        <sz val="11"/>
        <color rgb="FF000000"/>
        <rFont val="MathJax_Main"/>
      </rPr>
      <t>∙</t>
    </r>
    <r>
      <rPr>
        <sz val="11"/>
        <color rgb="FF000000"/>
        <rFont val="MathJax_Math-italic"/>
      </rPr>
      <t>h</t>
    </r>
    <r>
      <rPr>
        <sz val="11"/>
        <color rgb="FF000000"/>
        <rFont val="Segoe UI"/>
        <family val="2"/>
      </rPr>
      <t>BTUW∙h</t>
    </r>
  </si>
  <si>
    <t>HP Motor</t>
  </si>
  <si>
    <t>nMotor</t>
  </si>
  <si>
    <t>New Equipment</t>
  </si>
  <si>
    <t>Default: CAC = 12.1 </t>
  </si>
  <si>
    <t>6, 14 </t>
  </si>
  <si>
    <t>Replace on Failure</t>
  </si>
  <si>
    <t>Heat Pump = 13.5 </t>
  </si>
  <si>
    <t>Gas Furnace</t>
  </si>
  <si>
    <t>Retrofit</t>
  </si>
  <si>
    <t>Ground Source Heat Pump = 17.4 </t>
  </si>
  <si>
    <t>EER, Energy Efficiency Ratio </t>
  </si>
  <si>
    <t>EDC Data Gathering of Nameplate data </t>
  </si>
  <si>
    <t>Central Air Conditioner</t>
  </si>
  <si>
    <t>Default: CAC = 10.6 </t>
  </si>
  <si>
    <t>Heat Pump = 11.4 </t>
  </si>
  <si>
    <t>Ground Source Heat Pump = 17.1 </t>
  </si>
  <si>
    <r>
      <t>HSPF</t>
    </r>
    <r>
      <rPr>
        <i/>
        <vertAlign val="subscript"/>
        <sz val="7"/>
        <rFont val="Arial"/>
        <family val="2"/>
      </rPr>
      <t>heat pump</t>
    </r>
    <r>
      <rPr>
        <sz val="9"/>
        <rFont val="Arial"/>
        <family val="2"/>
      </rPr>
      <t>, Heating Seasonal Performance Factor of Heat Pump </t>
    </r>
  </si>
  <si>
    <t>External ID</t>
  </si>
  <si>
    <t>Heat Pump Default = 8.2 </t>
  </si>
  <si>
    <t>Ground Source Heat Pump = 12.3 </t>
  </si>
  <si>
    <r>
      <t>Eff</t>
    </r>
    <r>
      <rPr>
        <i/>
        <vertAlign val="subscript"/>
        <sz val="7"/>
        <rFont val="Arial"/>
        <family val="2"/>
      </rPr>
      <t>duct</t>
    </r>
    <r>
      <rPr>
        <sz val="9"/>
        <rFont val="Arial"/>
        <family val="2"/>
      </rPr>
      <t>, Duct System Efficiency </t>
    </r>
  </si>
  <si>
    <r>
      <t>None</t>
    </r>
    <r>
      <rPr>
        <sz val="9"/>
        <rFont val="Arial"/>
        <family val="2"/>
      </rPr>
      <t> </t>
    </r>
  </si>
  <si>
    <t>0.8 </t>
  </si>
  <si>
    <t>16 </t>
  </si>
  <si>
    <r>
      <t>EFLH</t>
    </r>
    <r>
      <rPr>
        <i/>
        <vertAlign val="subscript"/>
        <sz val="7"/>
        <rFont val="Arial"/>
        <family val="2"/>
      </rPr>
      <t>cool</t>
    </r>
    <r>
      <rPr>
        <sz val="9"/>
        <rFont val="Arial"/>
        <family val="2"/>
      </rPr>
      <t>, Equivalent Full Load Hours for Cooling </t>
    </r>
  </si>
  <si>
    <r>
      <t>hoursyr</t>
    </r>
    <r>
      <rPr>
        <sz val="11"/>
        <color rgb="FF000000"/>
        <rFont val="Segoe UI"/>
        <family val="2"/>
      </rPr>
      <t>hoursyr</t>
    </r>
  </si>
  <si>
    <t>See Table 3-27 in Vol. 3 </t>
  </si>
  <si>
    <t>2,4,5 </t>
  </si>
  <si>
    <r>
      <t>EFLH</t>
    </r>
    <r>
      <rPr>
        <i/>
        <vertAlign val="subscript"/>
        <sz val="7"/>
        <rFont val="Arial"/>
        <family val="2"/>
      </rPr>
      <t>heat</t>
    </r>
    <r>
      <rPr>
        <sz val="9"/>
        <rFont val="Arial"/>
        <family val="2"/>
      </rPr>
      <t>, Equivalent Full Load Hours for Heating </t>
    </r>
  </si>
  <si>
    <t>See Table 3-29 in Vol. 3 </t>
  </si>
  <si>
    <r>
      <t>HP</t>
    </r>
    <r>
      <rPr>
        <i/>
        <vertAlign val="subscript"/>
        <sz val="7"/>
        <rFont val="Arial"/>
        <family val="2"/>
      </rPr>
      <t>motor</t>
    </r>
    <r>
      <rPr>
        <sz val="9"/>
        <rFont val="Arial"/>
        <family val="2"/>
      </rPr>
      <t>, Gas furnace blower motor horsepower </t>
    </r>
  </si>
  <si>
    <r>
      <t>Hp</t>
    </r>
    <r>
      <rPr>
        <sz val="9"/>
        <rFont val="Arial"/>
        <family val="2"/>
      </rPr>
      <t> </t>
    </r>
  </si>
  <si>
    <r>
      <t xml:space="preserve">Default = </t>
    </r>
    <r>
      <rPr>
        <sz val="9"/>
        <rFont val="Segoe UI"/>
        <family val="2"/>
      </rPr>
      <t>½ </t>
    </r>
  </si>
  <si>
    <r>
      <t xml:space="preserve">Average blower motor capacity for gas furnace (typical range = </t>
    </r>
    <r>
      <rPr>
        <sz val="9"/>
        <rFont val="Segoe UI"/>
        <family val="2"/>
      </rPr>
      <t>¼</t>
    </r>
    <r>
      <rPr>
        <sz val="9"/>
        <rFont val="Arial"/>
        <family val="2"/>
      </rPr>
      <t xml:space="preserve"> hp to </t>
    </r>
    <r>
      <rPr>
        <sz val="9"/>
        <rFont val="Segoe UI"/>
        <family val="2"/>
      </rPr>
      <t>¾</t>
    </r>
    <r>
      <rPr>
        <sz val="9"/>
        <rFont val="Arial"/>
        <family val="2"/>
      </rPr>
      <t xml:space="preserve"> hp) </t>
    </r>
  </si>
  <si>
    <r>
      <t>η</t>
    </r>
    <r>
      <rPr>
        <i/>
        <vertAlign val="subscript"/>
        <sz val="7"/>
        <rFont val="Arial"/>
        <family val="2"/>
      </rPr>
      <t>motor</t>
    </r>
    <r>
      <rPr>
        <sz val="9"/>
        <rFont val="Arial"/>
        <family val="2"/>
      </rPr>
      <t>, Efficiency of furnace blower motor </t>
    </r>
  </si>
  <si>
    <r>
      <t>%</t>
    </r>
    <r>
      <rPr>
        <sz val="9"/>
        <rFont val="Arial"/>
        <family val="2"/>
      </rPr>
      <t> </t>
    </r>
  </si>
  <si>
    <r>
      <t xml:space="preserve">Typical efficiency of </t>
    </r>
    <r>
      <rPr>
        <sz val="9"/>
        <rFont val="Segoe UI"/>
        <family val="2"/>
      </rPr>
      <t>½</t>
    </r>
    <r>
      <rPr>
        <sz val="9"/>
        <rFont val="Arial"/>
        <family val="2"/>
      </rPr>
      <t xml:space="preserve"> hp blower motor </t>
    </r>
  </si>
  <si>
    <t>Default = 50% </t>
  </si>
  <si>
    <r>
      <t>%</t>
    </r>
    <r>
      <rPr>
        <i/>
        <vertAlign val="subscript"/>
        <sz val="7"/>
        <rFont val="Arial"/>
        <family val="2"/>
      </rPr>
      <t>Programmable</t>
    </r>
    <r>
      <rPr>
        <sz val="9"/>
        <rFont val="Arial"/>
        <family val="2"/>
      </rPr>
      <t>, % central AC systems with a programmable thermostat </t>
    </r>
  </si>
  <si>
    <t>Default = 38% </t>
  </si>
  <si>
    <t>1 </t>
  </si>
  <si>
    <r>
      <t>%</t>
    </r>
    <r>
      <rPr>
        <i/>
        <vertAlign val="subscript"/>
        <sz val="7"/>
        <rFont val="Arial"/>
        <family val="2"/>
      </rPr>
      <t>Manual</t>
    </r>
    <r>
      <rPr>
        <sz val="9"/>
        <rFont val="Arial"/>
        <family val="2"/>
      </rPr>
      <t>, % central AC systems with a manual thermostat </t>
    </r>
  </si>
  <si>
    <t>Default = 62% </t>
  </si>
  <si>
    <r>
      <t>ESF</t>
    </r>
    <r>
      <rPr>
        <i/>
        <vertAlign val="subscript"/>
        <sz val="7"/>
        <rFont val="Arial"/>
        <family val="2"/>
      </rPr>
      <t>cool</t>
    </r>
    <r>
      <rPr>
        <sz val="9"/>
        <rFont val="Arial"/>
        <family val="2"/>
      </rPr>
      <t>, cooling energy saving factor </t>
    </r>
  </si>
  <si>
    <t>See Table 2 </t>
  </si>
  <si>
    <t>Composite of multiple sources </t>
  </si>
  <si>
    <r>
      <t>ESF</t>
    </r>
    <r>
      <rPr>
        <i/>
        <vertAlign val="subscript"/>
        <sz val="7"/>
        <rFont val="Arial"/>
        <family val="2"/>
      </rPr>
      <t>heat</t>
    </r>
    <r>
      <rPr>
        <sz val="9"/>
        <rFont val="Arial"/>
        <family val="2"/>
      </rPr>
      <t>, heating energy saving factor </t>
    </r>
  </si>
  <si>
    <r>
      <t>CF</t>
    </r>
    <r>
      <rPr>
        <sz val="9"/>
        <rFont val="Arial"/>
        <family val="2"/>
      </rPr>
      <t>, Demand Coincidence Factor </t>
    </r>
  </si>
  <si>
    <r>
      <t>Proportion</t>
    </r>
    <r>
      <rPr>
        <sz val="9"/>
        <rFont val="Arial"/>
        <family val="2"/>
      </rPr>
      <t> </t>
    </r>
  </si>
  <si>
    <t>See Table 3-28 in Vol. 3 </t>
  </si>
  <si>
    <t>2,3 </t>
  </si>
  <si>
    <r>
      <t>DF</t>
    </r>
    <r>
      <rPr>
        <i/>
        <vertAlign val="subscript"/>
        <sz val="7"/>
        <rFont val="Arial"/>
        <family val="2"/>
      </rPr>
      <t>elecresistance</t>
    </r>
    <r>
      <rPr>
        <sz val="9"/>
        <rFont val="Arial"/>
        <family val="2"/>
      </rPr>
      <t>, Derate Factor for Electric Resistance Heating Systems </t>
    </r>
  </si>
  <si>
    <t>0.85 </t>
  </si>
  <si>
    <t>Professional Judgement </t>
  </si>
  <si>
    <r>
      <t>PDSF, peak demand savings factor relative to ESF</t>
    </r>
    <r>
      <rPr>
        <i/>
        <vertAlign val="subscript"/>
        <sz val="7"/>
        <rFont val="Arial"/>
        <family val="2"/>
      </rPr>
      <t>cool</t>
    </r>
    <r>
      <rPr>
        <sz val="7"/>
        <rFont val="Arial"/>
        <family val="2"/>
      </rPr>
      <t> </t>
    </r>
  </si>
  <si>
    <t>0.25 </t>
  </si>
  <si>
    <t xml:space="preserve"> FirstEnergy Pennsylvania HVAC Calculator Lookup Tables</t>
  </si>
  <si>
    <t>Calculator Version</t>
  </si>
  <si>
    <t>ZCTA</t>
  </si>
  <si>
    <t>Project Type</t>
  </si>
  <si>
    <t>Annual Cooling Hours - EFLH by City and Building Type (Table 3-27 from PA TRM 2021, p 49)</t>
  </si>
  <si>
    <t>Annual Heating Hours - EFLH by City and Building Type (Table 3-29 from PA TRM 2021, p 51)</t>
  </si>
  <si>
    <t>Cooling CF by City and Building Type (Table 3-28 from PA TRM 2021, p 50)</t>
  </si>
  <si>
    <t>Baseline Efficiencies [IECC 2009] (kWh/ton)</t>
  </si>
  <si>
    <t>≥ 300 tons</t>
  </si>
  <si>
    <t>Split and Packaged Air Conditioners</t>
  </si>
  <si>
    <t>Baseline [IECC 2009]</t>
  </si>
  <si>
    <t>Program Minimums 
[10% above base]</t>
  </si>
  <si>
    <t>&lt; 65,000 Btu/h (5.4 tons) 16 SEER</t>
  </si>
  <si>
    <t>&lt; 65,000 Btu/h (5.4 tons) 18 SEER</t>
  </si>
  <si>
    <t>Water Cooled</t>
  </si>
  <si>
    <r>
      <t>Annual Cooling Hours - Electric Chiller EFLH</t>
    </r>
    <r>
      <rPr>
        <b/>
        <vertAlign val="subscript"/>
        <sz val="10"/>
        <color indexed="8"/>
        <rFont val="Calibri"/>
        <family val="2"/>
        <scheme val="minor"/>
      </rPr>
      <t>cool</t>
    </r>
    <r>
      <rPr>
        <b/>
        <sz val="10"/>
        <color indexed="8"/>
        <rFont val="Calibri"/>
        <family val="2"/>
        <scheme val="minor"/>
      </rPr>
      <t xml:space="preserve"> by City and Building Type (Table 3-32 from PA TRM 2021, p 56)</t>
    </r>
  </si>
  <si>
    <t>Not Applicable</t>
  </si>
  <si>
    <t>Evaporatively Cooled</t>
  </si>
  <si>
    <t>Pump Motor Speed (RPM)</t>
  </si>
  <si>
    <t>Heat Pumps</t>
  </si>
  <si>
    <t>Retrofit Any Tech Other Than Ground, GW Source, or Water Source</t>
  </si>
  <si>
    <t>New Construction Baseline</t>
  </si>
  <si>
    <t>Program  Minimums</t>
  </si>
  <si>
    <t>Electric Chiller CFs by City and Building Type (Table 3-33 from PA TRM 2021, p 56)</t>
  </si>
  <si>
    <t>&lt; 65,000 Btu/h (5.4 tons) 16 SEER 9.0 HSPF</t>
  </si>
  <si>
    <t>&lt; 65,000 Btu/h (5.4 tons) 18 SEER 10.0 HSPF</t>
  </si>
  <si>
    <t>≥ 240,000 Btu/h (20 tons)</t>
  </si>
  <si>
    <t>Water Source</t>
  </si>
  <si>
    <t>≥ 17,000 Btu/h (1.42 tons)</t>
  </si>
  <si>
    <t>Ground Source</t>
  </si>
  <si>
    <t>Ground Water Source</t>
  </si>
  <si>
    <r>
      <t xml:space="preserve">Pump Eff. </t>
    </r>
    <r>
      <rPr>
        <b/>
        <sz val="10"/>
        <color indexed="8"/>
        <rFont val="Calibri"/>
        <family val="2"/>
        <scheme val="minor"/>
      </rPr>
      <t>ƞpump</t>
    </r>
  </si>
  <si>
    <t>Ductless Mini Split Heat Pumps</t>
  </si>
  <si>
    <t>Baseline</t>
  </si>
  <si>
    <t>Standard DHP</t>
  </si>
  <si>
    <t>ASHP</t>
  </si>
  <si>
    <t>PTAC Retrofit</t>
  </si>
  <si>
    <t xml:space="preserve">ASHP </t>
  </si>
  <si>
    <t>Gas Heat</t>
  </si>
  <si>
    <t>PTHP Retrofit</t>
  </si>
  <si>
    <t>(10.9-(0.213 x Cap/1000))*13/11.3)</t>
  </si>
  <si>
    <t>(2.9-(0.026 x Cap/1000))*3.412</t>
  </si>
  <si>
    <t>Multi-Zone</t>
  </si>
  <si>
    <t>Sodexo Measure Name</t>
  </si>
  <si>
    <t>eO friendly Name</t>
  </si>
  <si>
    <t>FE Reporting Categories</t>
  </si>
  <si>
    <t>Packaged/Split AC Units - Air Cooled &lt; 65,000 Btu/h (5.4 tons) 16 SEER</t>
  </si>
  <si>
    <t>Packaged/Split AC Units - Air Cooled LT 65,000 Btu/h (5.4 tons) 16 SEER</t>
  </si>
  <si>
    <t>FEPA-72</t>
  </si>
  <si>
    <t>Packaged/Split AC Units - Air Cooled &lt; 65,000 Btu/h (5.4 tons) 18 SEER</t>
  </si>
  <si>
    <t>Packaged/Split AC Units - Air Cooled LT 65,000 Btu/h (5.4 tons) 18 SEER</t>
  </si>
  <si>
    <t>FEPA-73</t>
  </si>
  <si>
    <t>Packaged/Split AC Units - Air Cooled ≥ 65,000 Btu/h (5.4 tons) and &lt; 135,000 Btu/h (11.25 tons)</t>
  </si>
  <si>
    <t>Packaged/Split AC Units - Air Cooled GTE 65,000 Btu/h (5.4 tons) and LT 135,000 Btu/h (11.25 tons)</t>
  </si>
  <si>
    <t>FEPA-74</t>
  </si>
  <si>
    <t>Packaged/Split AC Units - Air Cooled ≥ 135,000 Btu/h (11.25 tons) and &lt; 240,000 Btu/h (20 tons)</t>
  </si>
  <si>
    <t>Packaged/Split AC Units - Air Cooled GTE 135,000 Btu/h (11.25 tons) and LT 240,000 Btu/h (20 tons)</t>
  </si>
  <si>
    <t>FEPA-75</t>
  </si>
  <si>
    <t>Packaged/Split AC Units - Air Cooled ≥ 240,000 Btu/h (20 tons) and &lt; 760,000 Btu/h (63.33 tons)</t>
  </si>
  <si>
    <t>Packaged/Split AC Units - Air Cooled GTE 240,000 Btu/h (20 tons) and LT 760,000 Btu/h (63.33 tons)</t>
  </si>
  <si>
    <t>FEPA-76</t>
  </si>
  <si>
    <t xml:space="preserve">Packaged/Split AC Units - Air Cooled ≥ 760,000 Btu/h (63.33 tons) </t>
  </si>
  <si>
    <t xml:space="preserve">Packaged/Split AC Units - Air Cooled GTE 760,000 Btu/h (63.33 tons) </t>
  </si>
  <si>
    <t>FEPA-77</t>
  </si>
  <si>
    <t>Packaged/Split AC Units - Water Cooled &lt; 65,000 Btu/h (5.4 tons) 16 SEER</t>
  </si>
  <si>
    <t>Packaged/Split AC Units - Water Cooled LT 65,000 Btu/h (5.4 tons) 16 SEER</t>
  </si>
  <si>
    <t>FEPA-78</t>
  </si>
  <si>
    <t>Heat Pumps - Level 2 &lt;= 5.4 Tons</t>
  </si>
  <si>
    <t>Packaged/Split AC Units - Water Cooled &lt; 65,000 Btu/h (5.4 tons) 18 SEER</t>
  </si>
  <si>
    <t>Packaged/Split AC Units - Water Cooled LT 65,000 Btu/h (5.4 tons) 18 SEER</t>
  </si>
  <si>
    <t>FEPA-79</t>
  </si>
  <si>
    <t>Heat Pumps - Level 1 &gt; 5.4 Tons</t>
  </si>
  <si>
    <t>Packaged/Split AC Units - Water Cooled ≥ 65,000 Btu/h (5.4 tons) and &lt; 135,000 Btu/h (11.25 tons)</t>
  </si>
  <si>
    <t>Packaged/Split AC Units - Water Cooled GTE 65,000 Btu/h (5.4 tons) and LT 135,000 Btu/h (11.25 tons)</t>
  </si>
  <si>
    <t>FEPA-80</t>
  </si>
  <si>
    <t>Packaged/Split AC Units - Water Cooled ≥ 135,000 Btu/h (11.25 tons) and &lt; 240,000 Btu/h (20 tons)</t>
  </si>
  <si>
    <t>Packaged/Split AC Units - Water Cooled GTE 135,000 Btu/h (11.25 tons) and LT 240,000 Btu/h (20 tons)</t>
  </si>
  <si>
    <t>FEPA-81</t>
  </si>
  <si>
    <t>Packaged/Split AC Units - Water Cooled ≥ 240,000 Btu/h (20 tons) and &lt; 760,000 Btu/h (63.33 tons)</t>
  </si>
  <si>
    <t>Packaged/Split AC Units - Water Cooled GTE 240,000 Btu/h (20 tons) and LT 760,000 Btu/h (63.33 tons)</t>
  </si>
  <si>
    <t>FEPA-82</t>
  </si>
  <si>
    <t xml:space="preserve">Packaged/Split AC Units - Water Cooled ≥ 760,000 Btu/h (63.33 tons) </t>
  </si>
  <si>
    <t xml:space="preserve">Packaged/Split AC Units - Water Cooled GTE 760,000 Btu/h (63.33 tons) </t>
  </si>
  <si>
    <t>FEPA-83</t>
  </si>
  <si>
    <t>Packaged/Split AC Units - Evaporatively Cooled &lt; 65,000 Btu/h (5.4 tons) 16 SEER</t>
  </si>
  <si>
    <t>Packaged/Split AC Units - Evaporatively Cooled LT 65,000 Btu/h (5.4 tons) 16 SEER</t>
  </si>
  <si>
    <t>FEPA-900</t>
  </si>
  <si>
    <t>Custom - HVAC &amp; Chillers</t>
  </si>
  <si>
    <t>Packaged/Split AC Units - Evaporatively Cooled &lt; 65,000 Btu/h (5.4 tons) 18 SEER</t>
  </si>
  <si>
    <t>Packaged/Split AC Units - Evaporatively Cooled LT 65,000 Btu/h (5.4 tons) 18 SEER</t>
  </si>
  <si>
    <t>FEPA-901</t>
  </si>
  <si>
    <t>Packaged/Split AC Units - Evaporatively Cooled ≥ 65,000 Btu/h (5.4 tons) and &lt; 135,000 Btu/h (11.25 tons)</t>
  </si>
  <si>
    <t>Packaged/Split AC Units - Evaporatively Cooled GTE 65,000 Btu/h (5.4 tons) and LT 135,000 Btu/h (11.25 tons)</t>
  </si>
  <si>
    <t>FEPA-902</t>
  </si>
  <si>
    <t>Packaged/Split AC Units - Evaporatively Cooled ≥ 135,000 Btu/h (11.25 tons) and &lt; 240,000 Btu/h (20 tons)</t>
  </si>
  <si>
    <t>Packaged/Split AC Units - Evaporatively Cooled GTE 135,000 Btu/h (11.25 tons) and LT 240,000 Btu/h (20 tons)</t>
  </si>
  <si>
    <t>FEPA-903</t>
  </si>
  <si>
    <t>Packaged/Split AC Units - Evaporatively Cooled ≥ 240,000 Btu/h (20 tons) and &lt; 760,000 Btu/h (63.33 tons)</t>
  </si>
  <si>
    <t>Packaged/Split AC Units - Evaporatively Cooled GTE 240,000 Btu/h (20 tons) and LT 760,000 Btu/h (63.33 tons)</t>
  </si>
  <si>
    <t>FEPA-904</t>
  </si>
  <si>
    <t xml:space="preserve">Packaged/Split AC Units - Evaporatively Cooled ≥ 760,000 Btu/h (63.33 tons) </t>
  </si>
  <si>
    <t xml:space="preserve">Packaged/Split AC Units - Evaporatively Cooled GTE 760,000 Btu/h (63.33 tons) </t>
  </si>
  <si>
    <t>FEPA-905</t>
  </si>
  <si>
    <t>Electric Chillers - Water Cooled - Reciprocating/Positive Displacement &lt; 75 tons</t>
  </si>
  <si>
    <t>Electric Chillers - Water Cooled - Reciprocating/Positive Displacement ≥ 75 tons and &lt; 150 tons</t>
  </si>
  <si>
    <t>Electric Chillers - Water Cooled - Reciprocating/Positive Displacement ≥ 150 tons and &lt; 300 tons</t>
  </si>
  <si>
    <t>Electric Chillers - Water Cooled - Reciprocating/Positive Displacement ≥ 300 tons</t>
  </si>
  <si>
    <t>Electric Chillers - Water Cooled - Reciprocating/Positive Displacement GTE 300 tons</t>
  </si>
  <si>
    <t>Electric Chillers - Water Cooled - Centrifugal &lt; 150 tons</t>
  </si>
  <si>
    <t>Electric Chillers - Water Cooled - Centrifugal ≥ 150 tons and &lt; 300 tons</t>
  </si>
  <si>
    <t>Electric Chillers - Water Cooled - Centrifugal ≥ 300 tons and &lt; 600 tons</t>
  </si>
  <si>
    <t>Electric Chillers - Water Cooled - Centrifugal GTE 300 tons and LT 600 tons</t>
  </si>
  <si>
    <t>Electric Chillers - Water Cooled - Centrifugal ≥ 600 tons</t>
  </si>
  <si>
    <t>Heat Pumps - Air Source &lt; 65,000 Btu/h (5.4 tons) 16 SEER 9.0 HSPF</t>
  </si>
  <si>
    <t>Heat Pumps - Air Source LT 65,000 Btu/h (5.4 tons) 16 SEER 9.0 HSPF</t>
  </si>
  <si>
    <t>FEPA-94</t>
  </si>
  <si>
    <t>Heat Pumps - Air Source &lt; 65,000 Btu/h (5.4 tons) 18 SEER 10.0 HSPF</t>
  </si>
  <si>
    <t>Heat Pumps - Air Source LT 65,000 Btu/h (5.4 tons) 18 SEER 10.0 HSPF</t>
  </si>
  <si>
    <t>FEPA-95</t>
  </si>
  <si>
    <t>Heat Pumps - Air Source ≥ 65,000 Btu/h (5.4 tons) and &lt; 135,000 Btu/h (11.25 tons)</t>
  </si>
  <si>
    <t>Heat Pumps - Air Source GTE 65,000 Btu/h (5.4 tons) and LT 135,000 Btu/h (11.25 tons)</t>
  </si>
  <si>
    <t>FEPA-96</t>
  </si>
  <si>
    <t>Heat Pumps - Air Source ≥ 135,000 Btu/h (11.25 tons) and &lt; 240,000 Btu/h (20 tons)</t>
  </si>
  <si>
    <t>Heat Pumps - Air Source GTE 135,000 Btu/h (11.25 tons) and LT 240,000 Btu/h (20 tons)</t>
  </si>
  <si>
    <t>FEPA-97</t>
  </si>
  <si>
    <t>Heat Pumps - Air Source ≥ 240,000 Btu/h (20 tons)</t>
  </si>
  <si>
    <t>Heat Pumps - Air Source GTE 240,000 Btu/h (20 tons)</t>
  </si>
  <si>
    <t>FEPA-98</t>
  </si>
  <si>
    <t>Heat Pumps - Water Source &lt; 17,000 Btu/h (1.42 tons)</t>
  </si>
  <si>
    <t>FEPA-99</t>
  </si>
  <si>
    <t>Heat Pumps - Water Source ≥ 17,000 Btu/h (1.42 tons)</t>
  </si>
  <si>
    <t>FEPA-100</t>
  </si>
  <si>
    <t xml:space="preserve">Heat Pumps - Ground Source &lt; 65,000 Btu/h (5 tons) </t>
  </si>
  <si>
    <t>FEPA-101</t>
  </si>
  <si>
    <t>Heat Pumps - Ground Source ≥ 65,000 Btu/h (5 tons)  and &lt; 135,000 Btu/h (11.25 tons)</t>
  </si>
  <si>
    <t xml:space="preserve">Heat Pumps - Ground Water Source &lt; 65,000 Btu/h (5 tons) </t>
  </si>
  <si>
    <t>FEPA-102</t>
  </si>
  <si>
    <t>Heat Pumps - Ground Water Source ≥ 65,000 Btu/h (5 tons)  and &lt; 135,000 Btu/h (11.25 tons)</t>
  </si>
  <si>
    <t>FEPA-103</t>
  </si>
  <si>
    <t>FEPA-104</t>
  </si>
  <si>
    <t>FEPA-105</t>
  </si>
  <si>
    <t>FEPA-106</t>
  </si>
  <si>
    <t>Line Item</t>
  </si>
  <si>
    <t>Project ID</t>
  </si>
  <si>
    <t>Project Name</t>
  </si>
  <si>
    <t>Program ID</t>
  </si>
  <si>
    <t>Account External ID</t>
  </si>
  <si>
    <t>Measure External ID</t>
  </si>
  <si>
    <t>Retrofit ID</t>
  </si>
  <si>
    <t>FE Reporting Category</t>
  </si>
  <si>
    <t>Cooling Capacity Btu/h</t>
  </si>
  <si>
    <t xml:space="preserve">Heating Capacity Btu/h </t>
  </si>
  <si>
    <t>Measure Quantity</t>
  </si>
  <si>
    <t>Proposed Equipment Heating Section</t>
  </si>
  <si>
    <t>Predominant Chiller Load Type</t>
  </si>
  <si>
    <t>Existing Cooling System replaced by new Ductless Mini-Split</t>
  </si>
  <si>
    <t>Existing Heating System replaced by new Ductless Mini -Split</t>
  </si>
  <si>
    <t>Existing Equipment Age in Years</t>
  </si>
  <si>
    <t>Base Full Load Cooling Efficiency SEER</t>
  </si>
  <si>
    <t>Base Full Load Cooling Efficiency EER</t>
  </si>
  <si>
    <t>Base Full Load Cooling Efficiency kW/ton</t>
  </si>
  <si>
    <t>Program Minimum Full Load Cooling Efficiency SEER</t>
  </si>
  <si>
    <t>Program Minimum Full Load Cooling Efficiency EER</t>
  </si>
  <si>
    <t>Program Minimum Full Load Cooling Efficiency kW/ton</t>
  </si>
  <si>
    <t>New Full Load Cooling Efficiency SEER</t>
  </si>
  <si>
    <t>New Full Load Cooling Efficiency EER</t>
  </si>
  <si>
    <t>New Full Load Cooling Efficiency kW/ton</t>
  </si>
  <si>
    <t>Base Part Load Cooling Efficiency SEER</t>
  </si>
  <si>
    <t>Base Part Load Cooling Efficiency IEER</t>
  </si>
  <si>
    <t>Base Part Load Cooling Efficiency kW/ton</t>
  </si>
  <si>
    <t>Program Minimum Part Load Cooling Efficiency SEER</t>
  </si>
  <si>
    <t>Program Minimum Part Load Cooling Efficiency IEER</t>
  </si>
  <si>
    <t>Program Minimum Part Load Cooling Efficiency kW/ton</t>
  </si>
  <si>
    <t>New Part Load Cooling Efficiency SEER</t>
  </si>
  <si>
    <t>New Part Load Cooling Efficiency EER</t>
  </si>
  <si>
    <t>New Part Load Cooling Efficiency IEER</t>
  </si>
  <si>
    <t>New Part Load Cooling Efficiency kW/ton</t>
  </si>
  <si>
    <t>Base Heating Efficiency HSPF</t>
  </si>
  <si>
    <t>Base Heating Efficiency COP</t>
  </si>
  <si>
    <t>Program Minimum Heating Efficiency HSPF</t>
  </si>
  <si>
    <t>Program Minimum Heating Efficiency COP</t>
  </si>
  <si>
    <t>New Heating Efficiency HSPF</t>
  </si>
  <si>
    <t>New Heating Efficiency COP</t>
  </si>
  <si>
    <t>Cooling Hours 
EFLHcool</t>
  </si>
  <si>
    <t>Heating Hours 
EFLHheat</t>
  </si>
  <si>
    <t>Base Pump Hours</t>
  </si>
  <si>
    <t>New Pump Hours</t>
  </si>
  <si>
    <t>Coincidence Factor PJM</t>
  </si>
  <si>
    <t>Base Pump Motor HP</t>
  </si>
  <si>
    <t>Base Motor Type</t>
  </si>
  <si>
    <t>Base Motor Speed</t>
  </si>
  <si>
    <t xml:space="preserve">Base Motor Efficiency </t>
  </si>
  <si>
    <t>New Motor HP</t>
  </si>
  <si>
    <t>New Motor Type</t>
  </si>
  <si>
    <t>New Motor Speed</t>
  </si>
  <si>
    <t>New Motor Load Factor</t>
  </si>
  <si>
    <t xml:space="preserve">New Motor Efficiency </t>
  </si>
  <si>
    <t>New Equipment Efficiency</t>
  </si>
  <si>
    <t>Demand Savings PJM (kW)</t>
  </si>
  <si>
    <t>Cooling Energy Savings (kWh)</t>
  </si>
  <si>
    <t/>
  </si>
  <si>
    <t>Version Log</t>
  </si>
  <si>
    <t>Original Author:</t>
  </si>
  <si>
    <t>Alex Nissley</t>
  </si>
  <si>
    <t>QA/QC Engineer(s):</t>
  </si>
  <si>
    <t>Primary Developer:</t>
  </si>
  <si>
    <t>Senior Engineer Approval:</t>
  </si>
  <si>
    <t>Version</t>
  </si>
  <si>
    <t>Date</t>
  </si>
  <si>
    <t>Reason for Change</t>
  </si>
  <si>
    <t>Change Description</t>
  </si>
  <si>
    <t>Contact, Department</t>
  </si>
  <si>
    <t>Update Incentive</t>
  </si>
  <si>
    <t>Changed inventive rates in PTACs lines J22 – J24 from 30 Dollars/Ton to 75 Dollars/Ton from FE HVAC Incentive, Changed incentive rates in lines PTHPs lines N23 – N25 from 30 Dollars / Ton to 75 Dollars / Ton from FE HVAC Incentive,  Updated the Cap formuals to reflect the incentive rate in PTACs and PTHPs tabs</t>
  </si>
  <si>
    <t>Alex Nissley, Engineering</t>
  </si>
  <si>
    <t>Updated for Rounding Rules</t>
  </si>
  <si>
    <r>
      <rPr>
        <sz val="12"/>
        <color theme="1"/>
        <rFont val="Calibri"/>
        <family val="2"/>
        <scheme val="minor"/>
      </rPr>
      <t xml:space="preserve">6 decimal places for kW savings </t>
    </r>
    <r>
      <rPr>
        <sz val="11"/>
        <color theme="1"/>
        <rFont val="Calibri"/>
        <family val="2"/>
        <scheme val="minor"/>
      </rPr>
      <t xml:space="preserve">
4 decimal places for kWh savings
2 decimal places for dollar values
Added IMP Smart Thermostats</t>
    </r>
  </si>
  <si>
    <t>Afaircloth, Franklin Engineering
QC by Sarah Speck</t>
  </si>
  <si>
    <t>3.2-(0.026*Cap/1000)</t>
  </si>
  <si>
    <t>3.44-(0.028*Cap/1000)</t>
  </si>
  <si>
    <t>PA TRM 2021 Section 3.2.1 p44-52</t>
  </si>
  <si>
    <t>Cap for Calc</t>
  </si>
  <si>
    <t>Mini Splits added calculation for uncapped incentive for reporting, Added rounding in Split and Packaged minimum efficiencies</t>
  </si>
  <si>
    <t>5.2.1</t>
  </si>
  <si>
    <t>Updated for Rounding for minimum efficiencies</t>
  </si>
  <si>
    <t>Nick Dombrosky Franklin Engineering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</si>
</sst>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0.0"/>
    <numFmt numFmtId="165" formatCode="0.000"/>
    <numFmt numFmtId="166" formatCode="&quot;$&quot;#,##0.00"/>
    <numFmt numFmtId="167" formatCode="0.00000000"/>
    <numFmt numFmtId="168" formatCode="0.0000"/>
    <numFmt numFmtId="169" formatCode="#,##0.0"/>
    <numFmt numFmtId="170" formatCode="_(* #,##0.0000_);_(* \(#,##0.0000\);_(* &quot;-&quot;??_);_(@_)"/>
    <numFmt numFmtId="171" formatCode="_(* #,##0.000000_);_(* \(#,##0.000000\);_(* &quot;-&quot;??_);_(@_)"/>
    <numFmt numFmtId="172" formatCode="0.00000"/>
    <numFmt numFmtId="173" formatCode="0.000000"/>
    <numFmt numFmtId="174" formatCode="#,##0.00000"/>
  </numFmts>
  <fonts count="91">
    <font>
      <sz val="11"/>
      <color theme="1"/>
      <name val="Calibri"/>
      <family val="2"/>
      <scheme val="minor"/>
    </font>
    <font>
      <sz val="9"/>
      <color indexed="81"/>
      <name val="Tahoma"/>
      <family val="2"/>
    </font>
    <font>
      <b/>
      <sz val="9"/>
      <color indexed="9"/>
      <name val="Calibri"/>
      <family val="2"/>
    </font>
    <font>
      <b/>
      <sz val="8"/>
      <name val="Calibri"/>
      <family val="2"/>
    </font>
    <font>
      <sz val="11"/>
      <color theme="1"/>
      <name val="Calibri"/>
      <family val="2"/>
      <scheme val="minor"/>
    </font>
    <font>
      <b/>
      <sz val="11"/>
      <color theme="0"/>
      <name val="Calibri"/>
      <family val="2"/>
      <scheme val="minor"/>
    </font>
    <font>
      <u/>
      <sz val="11"/>
      <color theme="10"/>
      <name val="Calibri"/>
      <family val="2"/>
      <scheme val="minor"/>
    </font>
    <font>
      <sz val="10"/>
      <color rgb="FF000000"/>
      <name val="Times New Roman"/>
      <family val="1"/>
    </font>
    <font>
      <b/>
      <sz val="11"/>
      <color theme="1"/>
      <name val="Calibri"/>
      <family val="2"/>
      <scheme val="minor"/>
    </font>
    <font>
      <sz val="10"/>
      <color theme="1"/>
      <name val="Calibri"/>
      <family val="2"/>
      <scheme val="minor"/>
    </font>
    <font>
      <sz val="11"/>
      <name val="Calibri"/>
      <family val="2"/>
      <scheme val="minor"/>
    </font>
    <font>
      <sz val="10"/>
      <name val="Calibri"/>
      <family val="2"/>
      <scheme val="minor"/>
    </font>
    <font>
      <b/>
      <sz val="11"/>
      <name val="Calibri"/>
      <family val="2"/>
      <scheme val="minor"/>
    </font>
    <font>
      <sz val="9"/>
      <name val="Calibri"/>
      <family val="2"/>
      <scheme val="minor"/>
    </font>
    <font>
      <sz val="14"/>
      <name val="Calibri"/>
      <family val="2"/>
      <scheme val="minor"/>
    </font>
    <font>
      <b/>
      <sz val="14"/>
      <name val="Calibri"/>
      <family val="2"/>
      <scheme val="minor"/>
    </font>
    <font>
      <sz val="11"/>
      <color theme="1"/>
      <name val="Calibri"/>
      <family val="2"/>
    </font>
    <font>
      <b/>
      <sz val="10"/>
      <color theme="1"/>
      <name val="Calibri"/>
      <family val="2"/>
      <scheme val="minor"/>
    </font>
    <font>
      <b/>
      <sz val="18"/>
      <name val="Calibri"/>
      <family val="2"/>
      <scheme val="minor"/>
    </font>
    <font>
      <b/>
      <vertAlign val="subscript"/>
      <sz val="10"/>
      <color indexed="8"/>
      <name val="Calibri"/>
      <family val="2"/>
      <scheme val="minor"/>
    </font>
    <font>
      <b/>
      <sz val="10"/>
      <color indexed="8"/>
      <name val="Calibri"/>
      <family val="2"/>
      <scheme val="minor"/>
    </font>
    <font>
      <b/>
      <sz val="8"/>
      <color theme="0"/>
      <name val="Tahoma"/>
      <family val="2"/>
    </font>
    <font>
      <sz val="11"/>
      <color theme="1"/>
      <name val="Tahoma"/>
      <family val="2"/>
    </font>
    <font>
      <sz val="8"/>
      <color theme="1"/>
      <name val="Tahoma"/>
      <family val="2"/>
    </font>
    <font>
      <b/>
      <sz val="8"/>
      <color indexed="9"/>
      <name val="Tahoma"/>
      <family val="2"/>
    </font>
    <font>
      <b/>
      <sz val="7.5"/>
      <color theme="0"/>
      <name val="Tahoma"/>
      <family val="2"/>
    </font>
    <font>
      <b/>
      <vertAlign val="subscript"/>
      <sz val="8"/>
      <color theme="0"/>
      <name val="Tahoma"/>
      <family val="2"/>
    </font>
    <font>
      <b/>
      <sz val="16"/>
      <color theme="0"/>
      <name val="Tahoma"/>
      <family val="2"/>
    </font>
    <font>
      <b/>
      <sz val="9"/>
      <color indexed="9"/>
      <name val="Tahoma"/>
      <family val="2"/>
    </font>
    <font>
      <sz val="11"/>
      <color theme="0"/>
      <name val="Calibri"/>
      <family val="2"/>
      <scheme val="minor"/>
    </font>
    <font>
      <sz val="8"/>
      <color theme="0"/>
      <name val="Tahoma"/>
      <family val="2"/>
    </font>
    <font>
      <b/>
      <sz val="9"/>
      <color theme="0"/>
      <name val="Tahoma"/>
      <family val="2"/>
    </font>
    <font>
      <sz val="9"/>
      <color theme="0"/>
      <name val="Tahoma"/>
      <family val="2"/>
    </font>
    <font>
      <sz val="7.5"/>
      <color theme="0"/>
      <name val="Tahoma"/>
      <family val="2"/>
    </font>
    <font>
      <b/>
      <sz val="12"/>
      <color theme="1"/>
      <name val="Tahoma"/>
      <family val="2"/>
    </font>
    <font>
      <sz val="14"/>
      <color theme="0"/>
      <name val="Calibri"/>
      <family val="2"/>
      <scheme val="minor"/>
    </font>
    <font>
      <b/>
      <sz val="14"/>
      <color theme="0"/>
      <name val="Calibri"/>
      <family val="2"/>
      <scheme val="minor"/>
    </font>
    <font>
      <sz val="8"/>
      <color theme="0"/>
      <name val="Calibri"/>
      <family val="2"/>
      <scheme val="minor"/>
    </font>
    <font>
      <b/>
      <sz val="10"/>
      <color theme="0"/>
      <name val="Tahoma"/>
      <family val="2"/>
    </font>
    <font>
      <b/>
      <sz val="9"/>
      <color theme="1"/>
      <name val="Tahoma"/>
      <family val="2"/>
    </font>
    <font>
      <b/>
      <sz val="10"/>
      <name val="Tahoma"/>
      <family val="2"/>
    </font>
    <font>
      <b/>
      <sz val="12"/>
      <color theme="0"/>
      <name val="Tahoma"/>
      <family val="2"/>
    </font>
    <font>
      <b/>
      <sz val="9"/>
      <name val="Tahoma"/>
      <family val="2"/>
    </font>
    <font>
      <b/>
      <sz val="10"/>
      <color rgb="FFFFFF00"/>
      <name val="Tahoma"/>
      <family val="2"/>
    </font>
    <font>
      <sz val="10"/>
      <name val="Arial"/>
      <family val="2"/>
    </font>
    <font>
      <u/>
      <sz val="16"/>
      <color theme="8" tint="-0.499984740745262"/>
      <name val="Arial"/>
      <family val="2"/>
    </font>
    <font>
      <sz val="9"/>
      <color theme="1"/>
      <name val="Arial"/>
      <family val="2"/>
    </font>
    <font>
      <b/>
      <sz val="9"/>
      <color indexed="81"/>
      <name val="Tahoma"/>
      <family val="2"/>
    </font>
    <font>
      <b/>
      <sz val="8"/>
      <color theme="0" tint="-0.249977111117893"/>
      <name val="Tahoma"/>
      <family val="2"/>
    </font>
    <font>
      <sz val="11"/>
      <color theme="0" tint="-0.249977111117893"/>
      <name val="Calibri"/>
      <family val="2"/>
      <scheme val="minor"/>
    </font>
    <font>
      <b/>
      <sz val="11"/>
      <color theme="0" tint="-0.249977111117893"/>
      <name val="Calibri"/>
      <family val="2"/>
      <scheme val="minor"/>
    </font>
    <font>
      <sz val="11"/>
      <color rgb="FF006100"/>
      <name val="Calibri"/>
      <family val="2"/>
      <scheme val="minor"/>
    </font>
    <font>
      <sz val="11"/>
      <color rgb="FF9C6500"/>
      <name val="Calibri"/>
      <family val="2"/>
      <scheme val="minor"/>
    </font>
    <font>
      <b/>
      <sz val="16"/>
      <color theme="0"/>
      <name val="Calibri"/>
      <family val="2"/>
      <scheme val="minor"/>
    </font>
    <font>
      <sz val="12"/>
      <color theme="1"/>
      <name val="Calibri"/>
      <family val="2"/>
      <scheme val="minor"/>
    </font>
    <font>
      <b/>
      <sz val="12"/>
      <color theme="1"/>
      <name val="Calibri"/>
      <family val="2"/>
      <scheme val="minor"/>
    </font>
    <font>
      <sz val="8"/>
      <color theme="0"/>
      <name val="Calibri"/>
      <family val="2"/>
    </font>
    <font>
      <b/>
      <sz val="8"/>
      <color theme="5" tint="0.39997558519241921"/>
      <name val="Tahoma"/>
      <family val="2"/>
    </font>
    <font>
      <sz val="11"/>
      <color theme="0" tint="-0.34998626667073579"/>
      <name val="Calibri"/>
      <family val="2"/>
      <scheme val="minor"/>
    </font>
    <font>
      <b/>
      <sz val="11"/>
      <color theme="0" tint="-0.34998626667073579"/>
      <name val="Calibri"/>
      <family val="2"/>
      <scheme val="minor"/>
    </font>
    <font>
      <b/>
      <sz val="11"/>
      <color theme="0" tint="-0.34998626667073579"/>
      <name val="Calibri"/>
      <family val="2"/>
    </font>
    <font>
      <sz val="8"/>
      <name val="Calibri"/>
      <family val="2"/>
      <scheme val="minor"/>
    </font>
    <font>
      <b/>
      <sz val="8"/>
      <color theme="0" tint="-0.34998626667073579"/>
      <name val="Tahoma"/>
      <family val="2"/>
    </font>
    <font>
      <b/>
      <i/>
      <sz val="8"/>
      <color theme="0"/>
      <name val="Tahoma"/>
      <family val="2"/>
    </font>
    <font>
      <i/>
      <sz val="11"/>
      <color theme="1"/>
      <name val="Tahoma"/>
      <family val="2"/>
    </font>
    <font>
      <i/>
      <sz val="11"/>
      <color theme="1"/>
      <name val="Calibri"/>
      <family val="2"/>
      <scheme val="minor"/>
    </font>
    <font>
      <b/>
      <i/>
      <sz val="8"/>
      <color theme="0" tint="-0.249977111117893"/>
      <name val="Tahoma"/>
      <family val="2"/>
    </font>
    <font>
      <b/>
      <i/>
      <sz val="7.5"/>
      <color theme="0"/>
      <name val="Tahoma"/>
      <family val="2"/>
    </font>
    <font>
      <b/>
      <i/>
      <sz val="11"/>
      <color theme="0"/>
      <name val="Calibri"/>
      <family val="2"/>
      <scheme val="minor"/>
    </font>
    <font>
      <sz val="9"/>
      <name val="Segoe UI"/>
      <family val="2"/>
    </font>
    <font>
      <b/>
      <sz val="9"/>
      <color rgb="FF000000"/>
      <name val="Arial"/>
      <family val="2"/>
    </font>
    <font>
      <sz val="9"/>
      <color rgb="FF000000"/>
      <name val="Arial"/>
      <family val="2"/>
    </font>
    <font>
      <b/>
      <sz val="9"/>
      <name val="Arial"/>
      <family val="2"/>
    </font>
    <font>
      <sz val="9"/>
      <name val="Arial"/>
      <family val="2"/>
    </font>
    <font>
      <i/>
      <sz val="9"/>
      <name val="Arial"/>
      <family val="2"/>
    </font>
    <font>
      <i/>
      <vertAlign val="subscript"/>
      <sz val="7"/>
      <name val="Arial"/>
      <family val="2"/>
    </font>
    <font>
      <sz val="11"/>
      <color rgb="FF000000"/>
      <name val="Segoe UI"/>
      <family val="2"/>
    </font>
    <font>
      <sz val="11"/>
      <color rgb="FF000000"/>
      <name val="MathJax_Math-italic"/>
    </font>
    <font>
      <sz val="11"/>
      <color rgb="FF000000"/>
      <name val="MathJax_Main"/>
    </font>
    <font>
      <i/>
      <sz val="9"/>
      <name val="Segoe UI"/>
      <family val="2"/>
    </font>
    <font>
      <sz val="7"/>
      <name val="Arial"/>
      <family val="2"/>
    </font>
    <font>
      <b/>
      <sz val="9"/>
      <color theme="1"/>
      <name val="Arial"/>
      <family val="2"/>
    </font>
    <font>
      <sz val="10"/>
      <color rgb="FF000000"/>
      <name val="Tahoma"/>
      <family val="2"/>
    </font>
    <font>
      <b/>
      <i/>
      <sz val="9"/>
      <color rgb="FF000000"/>
      <name val="Arial"/>
      <family val="2"/>
    </font>
    <font>
      <b/>
      <i/>
      <vertAlign val="subscript"/>
      <sz val="9"/>
      <color rgb="FF000000"/>
      <name val="Arial"/>
      <family val="2"/>
    </font>
    <font>
      <b/>
      <sz val="8"/>
      <color theme="0"/>
      <name val="Tahoma"/>
      <family val="2"/>
    </font>
    <font>
      <sz val="11"/>
      <color theme="1"/>
      <name val="Tahoma"/>
      <family val="2"/>
    </font>
    <font>
      <b/>
      <i/>
      <sz val="8"/>
      <color theme="0"/>
      <name val="Tahoma"/>
      <family val="2"/>
    </font>
    <font>
      <sz val="11"/>
      <color rgb="FFFF0000"/>
      <name val="Calibri"/>
      <family val="2"/>
      <scheme val="minor"/>
    </font>
    <font>
      <b/>
      <sz val="11"/>
      <color theme="2" tint="-0.249977111117893"/>
      <name val="Calibri"/>
      <family val="2"/>
      <scheme val="minor"/>
    </font>
    <font>
      <sz val="11"/>
      <color theme="2" tint="-0.249977111117893"/>
      <name val="Calibri"/>
      <family val="2"/>
      <scheme val="minor"/>
    </font>
  </fonts>
  <fills count="36">
    <fill>
      <patternFill patternType="none"/>
    </fill>
    <fill>
      <patternFill patternType="gray125"/>
    </fill>
    <fill>
      <patternFill patternType="solid">
        <fgColor theme="4"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4" tint="-0.499984740745262"/>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theme="2" tint="-0.89999084444715716"/>
        <bgColor indexed="64"/>
      </patternFill>
    </fill>
    <fill>
      <patternFill patternType="solid">
        <fgColor theme="8" tint="-0.249977111117893"/>
        <bgColor indexed="64"/>
      </patternFill>
    </fill>
    <fill>
      <patternFill patternType="solid">
        <fgColor rgb="FFC00000"/>
        <bgColor indexed="64"/>
      </patternFill>
    </fill>
    <fill>
      <patternFill patternType="solid">
        <fgColor theme="1"/>
        <bgColor indexed="64"/>
      </patternFill>
    </fill>
    <fill>
      <patternFill patternType="solid">
        <fgColor theme="1" tint="0.249977111117893"/>
        <bgColor indexed="64"/>
      </patternFill>
    </fill>
    <fill>
      <gradientFill>
        <stop position="0">
          <color theme="1"/>
        </stop>
        <stop position="1">
          <color theme="0" tint="-0.25098422193060094"/>
        </stop>
      </gradientFill>
    </fill>
    <fill>
      <patternFill patternType="solid">
        <fgColor rgb="FFFFFF00"/>
        <bgColor indexed="64"/>
      </patternFill>
    </fill>
    <fill>
      <patternFill patternType="solid">
        <fgColor rgb="FF00B050"/>
        <bgColor indexed="64"/>
      </patternFill>
    </fill>
    <fill>
      <patternFill patternType="solid">
        <fgColor rgb="FFFF0000"/>
        <bgColor indexed="64"/>
      </patternFill>
    </fill>
    <fill>
      <patternFill patternType="solid">
        <fgColor rgb="FFC6EFCE"/>
      </patternFill>
    </fill>
    <fill>
      <patternFill patternType="solid">
        <fgColor rgb="FFFFEB9C"/>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rgb="FFD9D9D9"/>
        <bgColor indexed="64"/>
      </patternFill>
    </fill>
    <fill>
      <patternFill patternType="solid">
        <fgColor rgb="FFA6A6A6"/>
        <bgColor indexed="64"/>
      </patternFill>
    </fill>
    <fill>
      <patternFill patternType="solid">
        <fgColor rgb="FFBFBFBF"/>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9" tint="0.59999389629810485"/>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hair">
        <color indexed="64"/>
      </left>
      <right/>
      <top/>
      <bottom/>
      <diagonal/>
    </border>
    <border>
      <left/>
      <right style="hair">
        <color indexed="64"/>
      </right>
      <top/>
      <bottom/>
      <diagonal/>
    </border>
    <border>
      <left style="dashed">
        <color indexed="64"/>
      </left>
      <right/>
      <top/>
      <bottom/>
      <diagonal/>
    </border>
    <border>
      <left/>
      <right style="dashed">
        <color indexed="64"/>
      </right>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bottom/>
      <diagonal/>
    </border>
    <border>
      <left/>
      <right style="thin">
        <color theme="0" tint="-0.34998626667073579"/>
      </right>
      <top/>
      <bottom/>
      <diagonal/>
    </border>
    <border>
      <left/>
      <right/>
      <top style="thin">
        <color theme="0" tint="-0.34998626667073579"/>
      </top>
      <bottom/>
      <diagonal/>
    </border>
    <border>
      <left/>
      <right style="medium">
        <color indexed="64"/>
      </right>
      <top style="thin">
        <color theme="0" tint="-0.34998626667073579"/>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D3D3D3"/>
      </left>
      <right style="thin">
        <color rgb="FFD3D3D3"/>
      </right>
      <top style="thin">
        <color rgb="FFD3D3D3"/>
      </top>
      <bottom style="thin">
        <color rgb="FFD3D3D3"/>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s>
  <cellStyleXfs count="10">
    <xf numFmtId="0" fontId="0" fillId="0" borderId="0"/>
    <xf numFmtId="43" fontId="4" fillId="0" borderId="0" applyFont="0" applyFill="0" applyBorder="0" applyAlignment="0" applyProtection="0"/>
    <xf numFmtId="0" fontId="6" fillId="0" borderId="0" applyNumberFormat="0" applyFill="0" applyBorder="0" applyAlignment="0" applyProtection="0"/>
    <xf numFmtId="0" fontId="4" fillId="0" borderId="0"/>
    <xf numFmtId="0" fontId="7" fillId="0" borderId="0"/>
    <xf numFmtId="0" fontId="44" fillId="0" borderId="0"/>
    <xf numFmtId="44" fontId="4" fillId="0" borderId="0" applyFont="0" applyFill="0" applyBorder="0" applyAlignment="0" applyProtection="0"/>
    <xf numFmtId="0" fontId="51" fillId="19" borderId="0" applyNumberFormat="0" applyBorder="0" applyAlignment="0" applyProtection="0"/>
    <xf numFmtId="0" fontId="52" fillId="20" borderId="0" applyNumberFormat="0" applyBorder="0" applyAlignment="0" applyProtection="0"/>
    <xf numFmtId="0" fontId="54" fillId="0" borderId="0"/>
  </cellStyleXfs>
  <cellXfs count="840">
    <xf numFmtId="0" fontId="0" fillId="0" borderId="0" xfId="0"/>
    <xf numFmtId="0" fontId="0" fillId="0" borderId="1" xfId="0" applyBorder="1"/>
    <xf numFmtId="0" fontId="0" fillId="2" borderId="0" xfId="0" applyFill="1"/>
    <xf numFmtId="166" fontId="0" fillId="0" borderId="1" xfId="0" applyNumberFormat="1" applyBorder="1" applyAlignment="1">
      <alignment horizontal="center" vertical="center"/>
    </xf>
    <xf numFmtId="0" fontId="8" fillId="3" borderId="1" xfId="0" applyFont="1" applyFill="1" applyBorder="1" applyAlignment="1">
      <alignment horizontal="left" vertical="center"/>
    </xf>
    <xf numFmtId="0" fontId="10" fillId="0" borderId="0" xfId="0" applyFont="1"/>
    <xf numFmtId="0" fontId="0" fillId="0" borderId="0" xfId="0" applyAlignment="1">
      <alignment horizontal="center" vertical="center"/>
    </xf>
    <xf numFmtId="0" fontId="10" fillId="0" borderId="0" xfId="0" applyFont="1" applyAlignment="1">
      <alignment horizontal="center" vertical="center" wrapText="1"/>
    </xf>
    <xf numFmtId="0" fontId="0" fillId="0" borderId="0" xfId="0" applyAlignment="1">
      <alignment horizontal="center" vertical="center" wrapText="1"/>
    </xf>
    <xf numFmtId="0" fontId="10" fillId="0" borderId="0" xfId="0" applyFont="1" applyAlignment="1">
      <alignment horizontal="center" vertical="center"/>
    </xf>
    <xf numFmtId="2" fontId="10" fillId="0" borderId="0" xfId="0" applyNumberFormat="1" applyFont="1" applyAlignment="1">
      <alignment horizontal="center" vertical="center"/>
    </xf>
    <xf numFmtId="0" fontId="0" fillId="4" borderId="0" xfId="0" applyFill="1"/>
    <xf numFmtId="0" fontId="9" fillId="4" borderId="1" xfId="0" applyFont="1" applyFill="1" applyBorder="1" applyAlignment="1" applyProtection="1">
      <alignment horizontal="center" vertical="center"/>
      <protection locked="0"/>
    </xf>
    <xf numFmtId="0" fontId="9" fillId="4" borderId="1" xfId="0" applyFont="1" applyFill="1" applyBorder="1" applyAlignment="1" applyProtection="1">
      <alignment horizontal="center" vertical="center" wrapText="1"/>
      <protection locked="0"/>
    </xf>
    <xf numFmtId="166" fontId="11" fillId="4" borderId="1" xfId="0" applyNumberFormat="1" applyFont="1" applyFill="1" applyBorder="1" applyAlignment="1">
      <alignment horizontal="center" vertical="center"/>
    </xf>
    <xf numFmtId="43" fontId="11" fillId="3" borderId="1" xfId="1" applyFont="1" applyFill="1" applyBorder="1" applyAlignment="1" applyProtection="1">
      <alignment horizontal="center" vertical="center" wrapText="1"/>
    </xf>
    <xf numFmtId="166" fontId="11" fillId="3" borderId="1" xfId="0" applyNumberFormat="1" applyFont="1" applyFill="1" applyBorder="1" applyAlignment="1">
      <alignment horizontal="right" vertical="center"/>
    </xf>
    <xf numFmtId="0" fontId="10" fillId="3" borderId="1" xfId="0" applyFont="1" applyFill="1" applyBorder="1" applyAlignment="1">
      <alignment horizontal="center" vertical="center"/>
    </xf>
    <xf numFmtId="0" fontId="10" fillId="5" borderId="1" xfId="0" applyFont="1" applyFill="1" applyBorder="1" applyAlignment="1">
      <alignment horizontal="center" vertical="center"/>
    </xf>
    <xf numFmtId="0" fontId="10" fillId="5" borderId="1" xfId="0" applyFont="1" applyFill="1" applyBorder="1" applyAlignment="1">
      <alignment horizontal="center" vertical="center" wrapText="1"/>
    </xf>
    <xf numFmtId="164" fontId="9" fillId="4" borderId="1" xfId="0" applyNumberFormat="1" applyFont="1" applyFill="1" applyBorder="1" applyAlignment="1" applyProtection="1">
      <alignment horizontal="center" vertical="center" wrapText="1"/>
      <protection locked="0"/>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4" borderId="1" xfId="0" applyFill="1" applyBorder="1"/>
    <xf numFmtId="166" fontId="0" fillId="4" borderId="1" xfId="0" applyNumberFormat="1" applyFill="1" applyBorder="1" applyAlignment="1">
      <alignment horizontal="center"/>
    </xf>
    <xf numFmtId="0" fontId="0" fillId="4" borderId="1" xfId="0" applyFill="1" applyBorder="1" applyAlignment="1">
      <alignment horizontal="left"/>
    </xf>
    <xf numFmtId="0" fontId="8" fillId="3" borderId="1" xfId="0" applyFont="1" applyFill="1" applyBorder="1" applyAlignment="1">
      <alignment vertical="center"/>
    </xf>
    <xf numFmtId="2" fontId="10" fillId="0" borderId="0" xfId="0" applyNumberFormat="1" applyFont="1" applyAlignment="1">
      <alignment horizontal="center" vertical="center" wrapText="1"/>
    </xf>
    <xf numFmtId="165" fontId="10" fillId="0" borderId="0" xfId="0" applyNumberFormat="1" applyFont="1" applyAlignment="1">
      <alignment horizontal="center" vertical="center" wrapText="1"/>
    </xf>
    <xf numFmtId="165" fontId="10" fillId="0" borderId="0" xfId="0" applyNumberFormat="1" applyFont="1" applyAlignment="1">
      <alignment horizontal="center" vertical="center"/>
    </xf>
    <xf numFmtId="2" fontId="10" fillId="0" borderId="0" xfId="0" applyNumberFormat="1" applyFont="1"/>
    <xf numFmtId="0" fontId="0" fillId="4" borderId="1" xfId="0" applyFill="1" applyBorder="1" applyAlignment="1" applyProtection="1">
      <alignment horizontal="center" vertical="center"/>
      <protection locked="0"/>
    </xf>
    <xf numFmtId="0" fontId="0" fillId="4" borderId="1" xfId="0" applyFill="1" applyBorder="1" applyAlignment="1" applyProtection="1">
      <alignment horizontal="center" vertical="center" wrapText="1"/>
      <protection locked="0"/>
    </xf>
    <xf numFmtId="0" fontId="0" fillId="4" borderId="0" xfId="0" applyFill="1" applyAlignment="1">
      <alignment horizontal="center" vertical="center"/>
    </xf>
    <xf numFmtId="1" fontId="9" fillId="3" borderId="1" xfId="0"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165" fontId="9" fillId="3" borderId="1" xfId="0" applyNumberFormat="1" applyFont="1" applyFill="1" applyBorder="1" applyAlignment="1">
      <alignment horizontal="center" vertical="center" wrapText="1"/>
    </xf>
    <xf numFmtId="165" fontId="9" fillId="3" borderId="1" xfId="0" applyNumberFormat="1" applyFont="1" applyFill="1" applyBorder="1" applyAlignment="1">
      <alignment horizontal="right" vertical="center" wrapText="1"/>
    </xf>
    <xf numFmtId="0" fontId="9" fillId="3" borderId="1" xfId="0" applyFont="1" applyFill="1" applyBorder="1" applyAlignment="1">
      <alignment horizontal="left" vertical="center" wrapText="1"/>
    </xf>
    <xf numFmtId="0" fontId="0" fillId="0" borderId="1" xfId="0" applyBorder="1" applyAlignment="1">
      <alignment horizontal="center"/>
    </xf>
    <xf numFmtId="166" fontId="11" fillId="3" borderId="1" xfId="0" applyNumberFormat="1" applyFont="1" applyFill="1" applyBorder="1" applyAlignment="1">
      <alignment horizontal="center" vertical="center"/>
    </xf>
    <xf numFmtId="2" fontId="9" fillId="3" borderId="1" xfId="0" applyNumberFormat="1" applyFont="1" applyFill="1" applyBorder="1" applyAlignment="1">
      <alignment horizontal="center" vertical="center" wrapText="1"/>
    </xf>
    <xf numFmtId="0" fontId="10" fillId="0" borderId="0" xfId="0" applyFont="1" applyAlignment="1">
      <alignment horizontal="left" vertical="center"/>
    </xf>
    <xf numFmtId="0" fontId="0" fillId="4" borderId="1" xfId="0" applyFill="1" applyBorder="1" applyAlignment="1">
      <alignment horizontal="center"/>
    </xf>
    <xf numFmtId="167" fontId="10" fillId="0" borderId="0" xfId="0" applyNumberFormat="1" applyFont="1" applyAlignment="1">
      <alignment horizontal="center" vertical="center"/>
    </xf>
    <xf numFmtId="165" fontId="10" fillId="0" borderId="0" xfId="0" applyNumberFormat="1" applyFont="1" applyAlignment="1">
      <alignment horizontal="center"/>
    </xf>
    <xf numFmtId="0" fontId="10" fillId="0" borderId="13" xfId="0" applyFont="1" applyBorder="1" applyAlignment="1">
      <alignment horizontal="left" vertical="center"/>
    </xf>
    <xf numFmtId="0" fontId="0" fillId="0" borderId="13" xfId="0" applyBorder="1" applyAlignment="1">
      <alignment horizontal="center" vertical="center"/>
    </xf>
    <xf numFmtId="2" fontId="10" fillId="0" borderId="13" xfId="0" applyNumberFormat="1" applyFont="1" applyBorder="1" applyAlignment="1">
      <alignment horizontal="center" vertical="center"/>
    </xf>
    <xf numFmtId="0" fontId="10" fillId="0" borderId="13" xfId="0" applyFont="1" applyBorder="1"/>
    <xf numFmtId="165" fontId="10" fillId="0" borderId="13" xfId="0" applyNumberFormat="1" applyFont="1" applyBorder="1" applyAlignment="1">
      <alignment horizontal="center" vertical="center"/>
    </xf>
    <xf numFmtId="2" fontId="10" fillId="0" borderId="13" xfId="0" applyNumberFormat="1" applyFont="1" applyBorder="1"/>
    <xf numFmtId="0" fontId="8" fillId="4" borderId="0" xfId="0" applyFont="1" applyFill="1" applyAlignment="1">
      <alignment horizontal="center"/>
    </xf>
    <xf numFmtId="0" fontId="0" fillId="4" borderId="0" xfId="0" applyFill="1" applyAlignment="1">
      <alignment horizontal="center"/>
    </xf>
    <xf numFmtId="167" fontId="10" fillId="0" borderId="0" xfId="0" applyNumberFormat="1" applyFont="1" applyAlignment="1">
      <alignment horizontal="center" vertical="center" wrapText="1"/>
    </xf>
    <xf numFmtId="0" fontId="0" fillId="0" borderId="17" xfId="0" applyBorder="1"/>
    <xf numFmtId="0" fontId="0" fillId="0" borderId="1" xfId="0" applyBorder="1" applyAlignment="1">
      <alignment horizontal="center" vertical="center"/>
    </xf>
    <xf numFmtId="2" fontId="0" fillId="0" borderId="18" xfId="0" applyNumberFormat="1" applyBorder="1" applyAlignment="1">
      <alignment horizontal="center" vertical="center"/>
    </xf>
    <xf numFmtId="0" fontId="0" fillId="0" borderId="22" xfId="0" applyBorder="1"/>
    <xf numFmtId="2" fontId="0" fillId="0" borderId="24" xfId="0" applyNumberFormat="1" applyBorder="1" applyAlignment="1">
      <alignment horizontal="center" vertical="center"/>
    </xf>
    <xf numFmtId="0" fontId="9" fillId="0" borderId="0" xfId="0" applyFont="1"/>
    <xf numFmtId="0" fontId="9" fillId="0" borderId="0" xfId="0" applyFont="1" applyAlignment="1">
      <alignment horizontal="center" vertical="center"/>
    </xf>
    <xf numFmtId="0" fontId="17" fillId="3" borderId="22" xfId="0" applyFont="1" applyFill="1" applyBorder="1" applyAlignment="1">
      <alignment horizontal="center"/>
    </xf>
    <xf numFmtId="0" fontId="17" fillId="3" borderId="23" xfId="0" applyFont="1" applyFill="1" applyBorder="1" applyAlignment="1">
      <alignment horizontal="center"/>
    </xf>
    <xf numFmtId="0" fontId="17" fillId="3" borderId="24" xfId="0" applyFont="1" applyFill="1" applyBorder="1" applyAlignment="1">
      <alignment horizontal="center"/>
    </xf>
    <xf numFmtId="0" fontId="9" fillId="0" borderId="17" xfId="0" applyFont="1" applyBorder="1"/>
    <xf numFmtId="0" fontId="9" fillId="0" borderId="22" xfId="0" applyFont="1" applyBorder="1"/>
    <xf numFmtId="0" fontId="17" fillId="3" borderId="16" xfId="0" applyFont="1" applyFill="1" applyBorder="1" applyAlignment="1">
      <alignment horizontal="center" vertical="center"/>
    </xf>
    <xf numFmtId="0" fontId="17" fillId="3" borderId="9" xfId="0" applyFont="1" applyFill="1" applyBorder="1" applyAlignment="1">
      <alignment horizontal="center" vertical="center"/>
    </xf>
    <xf numFmtId="0" fontId="17" fillId="3" borderId="1" xfId="0" applyFont="1" applyFill="1" applyBorder="1" applyAlignment="1">
      <alignment horizontal="center" vertical="center"/>
    </xf>
    <xf numFmtId="0" fontId="17" fillId="3" borderId="18" xfId="0" applyFont="1" applyFill="1" applyBorder="1" applyAlignment="1">
      <alignment horizontal="center" vertical="center"/>
    </xf>
    <xf numFmtId="0" fontId="9" fillId="0" borderId="17" xfId="0" applyFont="1" applyBorder="1" applyAlignment="1">
      <alignment horizontal="center"/>
    </xf>
    <xf numFmtId="0" fontId="9" fillId="0" borderId="1" xfId="0" applyFont="1" applyBorder="1" applyAlignment="1">
      <alignment horizontal="center"/>
    </xf>
    <xf numFmtId="165" fontId="9" fillId="0" borderId="1" xfId="0" applyNumberFormat="1" applyFont="1" applyBorder="1" applyAlignment="1">
      <alignment horizontal="center" vertical="center"/>
    </xf>
    <xf numFmtId="165" fontId="9" fillId="0" borderId="18" xfId="0" applyNumberFormat="1" applyFont="1" applyBorder="1" applyAlignment="1">
      <alignment horizontal="center" vertical="center"/>
    </xf>
    <xf numFmtId="0" fontId="9" fillId="0" borderId="22" xfId="0" applyFont="1" applyBorder="1" applyAlignment="1">
      <alignment horizontal="center"/>
    </xf>
    <xf numFmtId="0" fontId="9" fillId="0" borderId="23" xfId="0" applyFont="1" applyBorder="1" applyAlignment="1">
      <alignment horizontal="center"/>
    </xf>
    <xf numFmtId="165" fontId="9" fillId="0" borderId="23" xfId="0" applyNumberFormat="1" applyFont="1" applyBorder="1" applyAlignment="1">
      <alignment horizontal="center" vertical="center"/>
    </xf>
    <xf numFmtId="165" fontId="9" fillId="0" borderId="24" xfId="0" applyNumberFormat="1" applyFont="1" applyBorder="1" applyAlignment="1">
      <alignment horizontal="center" vertical="center"/>
    </xf>
    <xf numFmtId="0" fontId="17" fillId="3" borderId="1" xfId="0" applyFont="1" applyFill="1" applyBorder="1" applyAlignment="1">
      <alignment horizontal="center" vertical="center" wrapText="1"/>
    </xf>
    <xf numFmtId="0" fontId="17" fillId="3" borderId="15" xfId="0" applyFont="1" applyFill="1" applyBorder="1" applyAlignment="1">
      <alignment horizontal="center" vertical="center"/>
    </xf>
    <xf numFmtId="0" fontId="17" fillId="3" borderId="16" xfId="0" applyFont="1" applyFill="1" applyBorder="1" applyAlignment="1">
      <alignment horizontal="center" vertical="center" wrapText="1"/>
    </xf>
    <xf numFmtId="0" fontId="17" fillId="3" borderId="17" xfId="0" applyFont="1" applyFill="1" applyBorder="1" applyAlignment="1">
      <alignment horizontal="center" vertical="center"/>
    </xf>
    <xf numFmtId="0" fontId="0" fillId="0" borderId="1" xfId="0" applyBorder="1" applyAlignment="1">
      <alignment vertical="center"/>
    </xf>
    <xf numFmtId="0" fontId="0" fillId="0" borderId="0" xfId="0" applyAlignment="1">
      <alignment vertical="center"/>
    </xf>
    <xf numFmtId="0" fontId="0" fillId="0" borderId="1" xfId="0" applyBorder="1" applyAlignment="1">
      <alignment horizontal="left" vertical="center"/>
    </xf>
    <xf numFmtId="164" fontId="0" fillId="0" borderId="1" xfId="0" applyNumberFormat="1" applyBorder="1" applyAlignment="1">
      <alignment horizontal="center" vertical="center"/>
    </xf>
    <xf numFmtId="0" fontId="16" fillId="0" borderId="1" xfId="0" applyFont="1" applyBorder="1" applyAlignment="1">
      <alignment vertical="center"/>
    </xf>
    <xf numFmtId="0" fontId="0" fillId="0" borderId="20" xfId="0" applyBorder="1" applyAlignment="1">
      <alignment vertical="center"/>
    </xf>
    <xf numFmtId="164" fontId="0" fillId="0" borderId="20" xfId="0" applyNumberFormat="1" applyBorder="1" applyAlignment="1">
      <alignment horizontal="center" vertical="center"/>
    </xf>
    <xf numFmtId="0" fontId="0" fillId="3" borderId="2" xfId="0" applyFill="1" applyBorder="1"/>
    <xf numFmtId="0" fontId="0" fillId="3" borderId="0" xfId="0" applyFill="1"/>
    <xf numFmtId="0" fontId="8" fillId="3" borderId="17" xfId="0" applyFont="1" applyFill="1" applyBorder="1" applyAlignment="1">
      <alignment horizontal="left" vertical="center"/>
    </xf>
    <xf numFmtId="0" fontId="0" fillId="0" borderId="17" xfId="0" applyBorder="1" applyAlignment="1">
      <alignment vertical="center"/>
    </xf>
    <xf numFmtId="164" fontId="0" fillId="0" borderId="18" xfId="0" applyNumberFormat="1" applyBorder="1" applyAlignment="1">
      <alignment horizontal="center" vertical="center"/>
    </xf>
    <xf numFmtId="0" fontId="0" fillId="0" borderId="19" xfId="0" applyBorder="1" applyAlignment="1">
      <alignment vertical="center"/>
    </xf>
    <xf numFmtId="164" fontId="0" fillId="0" borderId="21" xfId="0" applyNumberFormat="1" applyBorder="1" applyAlignment="1">
      <alignment horizontal="center" vertical="center"/>
    </xf>
    <xf numFmtId="0" fontId="0" fillId="0" borderId="23" xfId="0" applyBorder="1"/>
    <xf numFmtId="164" fontId="0" fillId="0" borderId="23" xfId="0" applyNumberFormat="1" applyBorder="1" applyAlignment="1">
      <alignment horizontal="center" vertical="center"/>
    </xf>
    <xf numFmtId="164" fontId="0" fillId="0" borderId="24" xfId="0" applyNumberFormat="1" applyBorder="1" applyAlignment="1">
      <alignment horizontal="center" vertical="center"/>
    </xf>
    <xf numFmtId="165" fontId="0" fillId="0" borderId="1" xfId="0" applyNumberFormat="1" applyBorder="1" applyAlignment="1">
      <alignment horizontal="center" vertical="center"/>
    </xf>
    <xf numFmtId="165" fontId="0" fillId="0" borderId="18" xfId="0" applyNumberFormat="1" applyBorder="1" applyAlignment="1">
      <alignment horizontal="center" vertical="center"/>
    </xf>
    <xf numFmtId="0" fontId="0" fillId="0" borderId="22" xfId="0" applyBorder="1" applyAlignment="1">
      <alignment vertical="center"/>
    </xf>
    <xf numFmtId="0" fontId="16" fillId="0" borderId="23" xfId="0" applyFont="1" applyBorder="1" applyAlignment="1">
      <alignment vertical="center"/>
    </xf>
    <xf numFmtId="165" fontId="0" fillId="0" borderId="23" xfId="0" applyNumberFormat="1" applyBorder="1" applyAlignment="1">
      <alignment horizontal="center" vertical="center"/>
    </xf>
    <xf numFmtId="165" fontId="0" fillId="0" borderId="24" xfId="0" applyNumberFormat="1" applyBorder="1" applyAlignment="1">
      <alignment horizontal="center" vertical="center"/>
    </xf>
    <xf numFmtId="0" fontId="8" fillId="3" borderId="2" xfId="0" applyFont="1" applyFill="1" applyBorder="1" applyAlignment="1">
      <alignment horizontal="left" vertical="center"/>
    </xf>
    <xf numFmtId="0" fontId="8" fillId="3" borderId="0" xfId="0" applyFont="1" applyFill="1" applyAlignment="1">
      <alignment horizontal="center" vertical="center"/>
    </xf>
    <xf numFmtId="0" fontId="9" fillId="0" borderId="1" xfId="0" applyFont="1" applyBorder="1"/>
    <xf numFmtId="0" fontId="9" fillId="0" borderId="23" xfId="0" applyFont="1" applyBorder="1"/>
    <xf numFmtId="0" fontId="0" fillId="0" borderId="1" xfId="0" applyBorder="1" applyAlignment="1" applyProtection="1">
      <alignment horizontal="center" vertical="center"/>
      <protection locked="0"/>
    </xf>
    <xf numFmtId="165" fontId="9" fillId="4" borderId="1" xfId="0" applyNumberFormat="1" applyFont="1" applyFill="1" applyBorder="1" applyAlignment="1" applyProtection="1">
      <alignment horizontal="center" vertical="center" wrapText="1"/>
      <protection locked="0"/>
    </xf>
    <xf numFmtId="0" fontId="8" fillId="3" borderId="1" xfId="0" applyFont="1" applyFill="1" applyBorder="1"/>
    <xf numFmtId="165" fontId="9" fillId="4" borderId="4" xfId="0" applyNumberFormat="1" applyFont="1" applyFill="1" applyBorder="1" applyAlignment="1" applyProtection="1">
      <alignment horizontal="center" vertical="center" wrapText="1"/>
      <protection locked="0"/>
    </xf>
    <xf numFmtId="0" fontId="10" fillId="3" borderId="4" xfId="0" applyFont="1" applyFill="1" applyBorder="1" applyAlignment="1">
      <alignment horizontal="center" vertical="center" wrapText="1"/>
    </xf>
    <xf numFmtId="0" fontId="22" fillId="4" borderId="0" xfId="0" applyFont="1" applyFill="1"/>
    <xf numFmtId="164" fontId="0" fillId="4" borderId="1" xfId="0" applyNumberFormat="1" applyFill="1" applyBorder="1" applyAlignment="1">
      <alignment horizontal="center"/>
    </xf>
    <xf numFmtId="164" fontId="0" fillId="0" borderId="1" xfId="0" applyNumberFormat="1" applyBorder="1" applyAlignment="1">
      <alignment horizontal="center"/>
    </xf>
    <xf numFmtId="0" fontId="0" fillId="0" borderId="1" xfId="0" applyBorder="1" applyAlignment="1">
      <alignment horizontal="right"/>
    </xf>
    <xf numFmtId="0" fontId="0" fillId="0" borderId="1" xfId="0" applyBorder="1" applyAlignment="1">
      <alignment horizontal="left"/>
    </xf>
    <xf numFmtId="0" fontId="0" fillId="0" borderId="0" xfId="0" applyAlignment="1">
      <alignment horizontal="center"/>
    </xf>
    <xf numFmtId="0" fontId="0" fillId="0" borderId="4" xfId="0" applyBorder="1"/>
    <xf numFmtId="164" fontId="0" fillId="0" borderId="1" xfId="0" applyNumberFormat="1" applyBorder="1" applyAlignment="1" applyProtection="1">
      <alignment horizontal="center" vertical="center" wrapText="1"/>
      <protection locked="0"/>
    </xf>
    <xf numFmtId="0" fontId="22" fillId="0" borderId="0" xfId="0" applyFont="1"/>
    <xf numFmtId="0" fontId="22" fillId="4" borderId="0" xfId="0" applyFont="1" applyFill="1" applyAlignment="1">
      <alignment vertical="top" wrapText="1"/>
    </xf>
    <xf numFmtId="0" fontId="8" fillId="3" borderId="1" xfId="0" applyFont="1" applyFill="1" applyBorder="1" applyAlignment="1">
      <alignment horizontal="left" vertical="top"/>
    </xf>
    <xf numFmtId="0" fontId="8" fillId="3" borderId="1" xfId="0" applyFont="1" applyFill="1" applyBorder="1" applyAlignment="1">
      <alignment horizontal="left" vertical="top" wrapText="1"/>
    </xf>
    <xf numFmtId="0" fontId="4" fillId="4" borderId="0" xfId="0" applyFont="1" applyFill="1"/>
    <xf numFmtId="0" fontId="0" fillId="4" borderId="23" xfId="0" applyFill="1" applyBorder="1" applyAlignment="1">
      <alignment horizontal="left"/>
    </xf>
    <xf numFmtId="166" fontId="11" fillId="3" borderId="1" xfId="0" applyNumberFormat="1" applyFont="1" applyFill="1" applyBorder="1" applyAlignment="1">
      <alignment horizontal="left" vertical="center"/>
    </xf>
    <xf numFmtId="0" fontId="0" fillId="4" borderId="1" xfId="0" applyFill="1" applyBorder="1" applyAlignment="1">
      <alignment horizontal="left" vertical="top"/>
    </xf>
    <xf numFmtId="0" fontId="11" fillId="3" borderId="1" xfId="0" applyFont="1" applyFill="1" applyBorder="1" applyAlignment="1">
      <alignment horizontal="center" vertical="center"/>
    </xf>
    <xf numFmtId="0" fontId="11" fillId="3" borderId="1" xfId="0" applyFont="1" applyFill="1" applyBorder="1" applyAlignment="1">
      <alignment horizontal="left" vertical="center"/>
    </xf>
    <xf numFmtId="0" fontId="0" fillId="3" borderId="1" xfId="0" applyFill="1" applyBorder="1" applyAlignment="1">
      <alignment horizontal="left" vertical="center"/>
    </xf>
    <xf numFmtId="0" fontId="8" fillId="6" borderId="1" xfId="0" applyFont="1" applyFill="1" applyBorder="1" applyAlignment="1">
      <alignment vertical="center"/>
    </xf>
    <xf numFmtId="0" fontId="8" fillId="6" borderId="1" xfId="0" applyFont="1" applyFill="1" applyBorder="1" applyAlignment="1">
      <alignment horizontal="center" vertical="center"/>
    </xf>
    <xf numFmtId="2" fontId="9" fillId="3" borderId="5" xfId="0" applyNumberFormat="1" applyFont="1" applyFill="1" applyBorder="1" applyAlignment="1">
      <alignment horizontal="center" vertical="center" wrapText="1"/>
    </xf>
    <xf numFmtId="0" fontId="9" fillId="3" borderId="5" xfId="0" applyFont="1" applyFill="1" applyBorder="1" applyAlignment="1">
      <alignment horizontal="center" vertical="center" wrapText="1"/>
    </xf>
    <xf numFmtId="43" fontId="11" fillId="3" borderId="5" xfId="1" applyFont="1" applyFill="1" applyBorder="1" applyAlignment="1" applyProtection="1">
      <alignment horizontal="center" vertical="center" wrapText="1"/>
    </xf>
    <xf numFmtId="166" fontId="11" fillId="3" borderId="5" xfId="0" applyNumberFormat="1" applyFont="1" applyFill="1" applyBorder="1" applyAlignment="1">
      <alignment horizontal="center" vertical="center"/>
    </xf>
    <xf numFmtId="0" fontId="17" fillId="3" borderId="1" xfId="0" applyFont="1" applyFill="1" applyBorder="1"/>
    <xf numFmtId="0" fontId="27" fillId="7" borderId="0" xfId="0" applyFont="1" applyFill="1" applyAlignment="1">
      <alignment vertical="center"/>
    </xf>
    <xf numFmtId="0" fontId="27" fillId="4" borderId="0" xfId="0" applyFont="1" applyFill="1" applyAlignment="1">
      <alignment vertical="center"/>
    </xf>
    <xf numFmtId="0" fontId="22" fillId="7" borderId="0" xfId="0" applyFont="1" applyFill="1"/>
    <xf numFmtId="0" fontId="9" fillId="4" borderId="25" xfId="0" applyFont="1" applyFill="1" applyBorder="1" applyAlignment="1" applyProtection="1">
      <alignment horizontal="center" vertical="center" wrapText="1"/>
      <protection locked="0"/>
    </xf>
    <xf numFmtId="0" fontId="0" fillId="3" borderId="4" xfId="0" applyFill="1" applyBorder="1" applyAlignment="1">
      <alignment horizontal="center" vertical="center"/>
    </xf>
    <xf numFmtId="0" fontId="22" fillId="9" borderId="0" xfId="0" applyFont="1" applyFill="1"/>
    <xf numFmtId="0" fontId="0" fillId="9" borderId="0" xfId="0" applyFill="1"/>
    <xf numFmtId="0" fontId="4" fillId="4" borderId="0" xfId="0" applyFont="1" applyFill="1" applyAlignment="1">
      <alignment vertical="top" wrapText="1"/>
    </xf>
    <xf numFmtId="0" fontId="0" fillId="8" borderId="1" xfId="0" applyFill="1" applyBorder="1" applyAlignment="1">
      <alignment horizontal="center" vertical="center"/>
    </xf>
    <xf numFmtId="0" fontId="0" fillId="7" borderId="0" xfId="0" applyFill="1"/>
    <xf numFmtId="2" fontId="0" fillId="4" borderId="0" xfId="0" applyNumberFormat="1" applyFill="1"/>
    <xf numFmtId="2" fontId="0" fillId="9" borderId="0" xfId="0" applyNumberFormat="1" applyFill="1"/>
    <xf numFmtId="0" fontId="21" fillId="9" borderId="0" xfId="0" applyFont="1" applyFill="1" applyAlignment="1">
      <alignment vertical="center" wrapText="1"/>
    </xf>
    <xf numFmtId="165" fontId="0" fillId="4" borderId="1" xfId="0" applyNumberFormat="1" applyFill="1" applyBorder="1" applyAlignment="1" applyProtection="1">
      <alignment horizontal="center" vertical="center" wrapText="1"/>
      <protection locked="0"/>
    </xf>
    <xf numFmtId="1" fontId="0" fillId="3" borderId="1" xfId="0" applyNumberFormat="1" applyFill="1" applyBorder="1" applyAlignment="1">
      <alignment horizontal="center" vertical="center" wrapText="1"/>
    </xf>
    <xf numFmtId="164" fontId="0" fillId="4" borderId="1" xfId="0" applyNumberFormat="1" applyFill="1" applyBorder="1" applyAlignment="1" applyProtection="1">
      <alignment horizontal="center" vertical="center" wrapText="1"/>
      <protection locked="0"/>
    </xf>
    <xf numFmtId="2" fontId="0" fillId="3" borderId="1" xfId="0" applyNumberFormat="1" applyFill="1" applyBorder="1" applyAlignment="1">
      <alignment horizontal="center" vertical="center" wrapText="1"/>
    </xf>
    <xf numFmtId="164" fontId="0" fillId="3" borderId="1" xfId="0" applyNumberFormat="1" applyFill="1" applyBorder="1" applyAlignment="1">
      <alignment horizontal="center" vertical="center" wrapText="1"/>
    </xf>
    <xf numFmtId="43" fontId="10" fillId="3" borderId="1" xfId="1" applyFont="1" applyFill="1" applyBorder="1" applyAlignment="1" applyProtection="1">
      <alignment horizontal="center" vertical="center" wrapText="1"/>
    </xf>
    <xf numFmtId="166" fontId="10" fillId="3" borderId="1" xfId="0" applyNumberFormat="1" applyFont="1" applyFill="1" applyBorder="1" applyAlignment="1">
      <alignment horizontal="right" vertical="center"/>
    </xf>
    <xf numFmtId="166" fontId="10" fillId="3" borderId="1" xfId="0" applyNumberFormat="1" applyFont="1" applyFill="1" applyBorder="1" applyAlignment="1">
      <alignment horizontal="center" vertical="center"/>
    </xf>
    <xf numFmtId="166" fontId="10" fillId="3" borderId="1" xfId="0" applyNumberFormat="1" applyFont="1" applyFill="1" applyBorder="1" applyAlignment="1">
      <alignment horizontal="left" vertical="center"/>
    </xf>
    <xf numFmtId="0" fontId="0" fillId="7" borderId="0" xfId="0" applyFill="1" applyAlignment="1">
      <alignment horizontal="center"/>
    </xf>
    <xf numFmtId="0" fontId="0" fillId="10" borderId="0" xfId="0" applyFill="1"/>
    <xf numFmtId="0" fontId="22" fillId="10" borderId="0" xfId="0" applyFont="1" applyFill="1"/>
    <xf numFmtId="0" fontId="10" fillId="3" borderId="5" xfId="0" applyFont="1" applyFill="1" applyBorder="1" applyAlignment="1">
      <alignment horizontal="center" vertical="center"/>
    </xf>
    <xf numFmtId="0" fontId="10" fillId="3" borderId="5" xfId="0" applyFont="1" applyFill="1" applyBorder="1" applyAlignment="1">
      <alignment horizontal="center" vertical="center" wrapText="1"/>
    </xf>
    <xf numFmtId="0" fontId="0" fillId="4" borderId="5" xfId="0" applyFill="1" applyBorder="1" applyAlignment="1" applyProtection="1">
      <alignment horizontal="center" vertical="center"/>
      <protection locked="0"/>
    </xf>
    <xf numFmtId="0" fontId="0" fillId="8" borderId="5" xfId="0" applyFill="1" applyBorder="1" applyAlignment="1">
      <alignment horizontal="center" vertical="center"/>
    </xf>
    <xf numFmtId="0" fontId="9" fillId="4" borderId="5" xfId="0" applyFont="1" applyFill="1" applyBorder="1" applyAlignment="1" applyProtection="1">
      <alignment horizontal="center" vertical="center" wrapText="1"/>
      <protection locked="0"/>
    </xf>
    <xf numFmtId="165" fontId="9" fillId="4" borderId="5" xfId="0" applyNumberFormat="1" applyFont="1" applyFill="1" applyBorder="1" applyAlignment="1" applyProtection="1">
      <alignment horizontal="center" vertical="center" wrapText="1"/>
      <protection locked="0"/>
    </xf>
    <xf numFmtId="0" fontId="9" fillId="4" borderId="5" xfId="0" applyFont="1" applyFill="1" applyBorder="1" applyAlignment="1" applyProtection="1">
      <alignment horizontal="center" vertical="center"/>
      <protection locked="0"/>
    </xf>
    <xf numFmtId="1" fontId="9" fillId="3" borderId="5" xfId="0" applyNumberFormat="1" applyFont="1" applyFill="1" applyBorder="1" applyAlignment="1">
      <alignment horizontal="center" vertical="center" wrapText="1"/>
    </xf>
    <xf numFmtId="165" fontId="9" fillId="3" borderId="5" xfId="0" applyNumberFormat="1" applyFont="1" applyFill="1" applyBorder="1" applyAlignment="1">
      <alignment horizontal="right" vertical="center" wrapText="1"/>
    </xf>
    <xf numFmtId="0" fontId="9" fillId="3" borderId="5" xfId="0" applyFont="1" applyFill="1" applyBorder="1" applyAlignment="1">
      <alignment horizontal="left" vertical="center" wrapText="1"/>
    </xf>
    <xf numFmtId="165" fontId="9" fillId="3" borderId="5" xfId="0" applyNumberFormat="1" applyFont="1" applyFill="1" applyBorder="1" applyAlignment="1">
      <alignment horizontal="center" vertical="center" wrapText="1"/>
    </xf>
    <xf numFmtId="166" fontId="11" fillId="3" borderId="5" xfId="0" applyNumberFormat="1" applyFont="1" applyFill="1" applyBorder="1" applyAlignment="1">
      <alignment horizontal="right" vertical="center"/>
    </xf>
    <xf numFmtId="166" fontId="11" fillId="4" borderId="5" xfId="0" applyNumberFormat="1" applyFont="1" applyFill="1" applyBorder="1" applyAlignment="1">
      <alignment horizontal="center" vertical="center"/>
    </xf>
    <xf numFmtId="0" fontId="10" fillId="11" borderId="1" xfId="0" applyFont="1" applyFill="1" applyBorder="1"/>
    <xf numFmtId="0" fontId="10" fillId="11" borderId="4" xfId="0" applyFont="1" applyFill="1" applyBorder="1"/>
    <xf numFmtId="0" fontId="10" fillId="11" borderId="25" xfId="0" applyFont="1" applyFill="1" applyBorder="1"/>
    <xf numFmtId="0" fontId="29" fillId="10" borderId="0" xfId="0" applyFont="1" applyFill="1" applyAlignment="1">
      <alignment vertical="top"/>
    </xf>
    <xf numFmtId="0" fontId="22" fillId="10" borderId="0" xfId="0" applyFont="1" applyFill="1" applyAlignment="1">
      <alignment vertical="top" wrapText="1"/>
    </xf>
    <xf numFmtId="0" fontId="22" fillId="10" borderId="1" xfId="0" applyFont="1" applyFill="1" applyBorder="1"/>
    <xf numFmtId="0" fontId="21" fillId="7" borderId="43" xfId="0" applyFont="1" applyFill="1" applyBorder="1" applyAlignment="1">
      <alignment vertical="center" wrapText="1"/>
    </xf>
    <xf numFmtId="0" fontId="21" fillId="7" borderId="0" xfId="0" applyFont="1" applyFill="1" applyAlignment="1">
      <alignment vertical="center" wrapText="1"/>
    </xf>
    <xf numFmtId="0" fontId="27" fillId="10" borderId="0" xfId="0" applyFont="1" applyFill="1" applyAlignment="1">
      <alignment vertical="center"/>
    </xf>
    <xf numFmtId="0" fontId="4" fillId="10" borderId="0" xfId="0" applyFont="1" applyFill="1" applyAlignment="1">
      <alignment vertical="top" wrapText="1"/>
    </xf>
    <xf numFmtId="0" fontId="22" fillId="10" borderId="29" xfId="0" applyFont="1" applyFill="1" applyBorder="1" applyAlignment="1">
      <alignment vertical="top" wrapText="1"/>
    </xf>
    <xf numFmtId="0" fontId="0" fillId="7" borderId="1" xfId="0" applyFill="1" applyBorder="1"/>
    <xf numFmtId="0" fontId="0" fillId="10" borderId="0" xfId="0" applyFill="1" applyAlignment="1">
      <alignment vertical="top" wrapText="1"/>
    </xf>
    <xf numFmtId="0" fontId="23" fillId="7" borderId="0" xfId="0" applyFont="1" applyFill="1"/>
    <xf numFmtId="2" fontId="0" fillId="10" borderId="0" xfId="0" applyNumberFormat="1" applyFill="1"/>
    <xf numFmtId="0" fontId="5" fillId="9" borderId="0" xfId="0" applyFont="1" applyFill="1" applyAlignment="1">
      <alignment vertical="center"/>
    </xf>
    <xf numFmtId="0" fontId="0" fillId="10" borderId="0" xfId="0" applyFill="1" applyAlignment="1">
      <alignment horizontal="center"/>
    </xf>
    <xf numFmtId="0" fontId="0" fillId="7" borderId="1" xfId="0" applyFill="1" applyBorder="1" applyAlignment="1">
      <alignment horizontal="center"/>
    </xf>
    <xf numFmtId="0" fontId="5" fillId="9" borderId="0" xfId="0" applyFont="1" applyFill="1" applyAlignment="1">
      <alignment horizontal="center" vertical="center"/>
    </xf>
    <xf numFmtId="0" fontId="0" fillId="10" borderId="0" xfId="0" applyFill="1" applyAlignment="1">
      <alignment vertical="center" wrapText="1"/>
    </xf>
    <xf numFmtId="0" fontId="0" fillId="10" borderId="0" xfId="0" applyFill="1" applyAlignment="1">
      <alignment horizontal="left" vertical="center" wrapText="1"/>
    </xf>
    <xf numFmtId="0" fontId="0" fillId="8" borderId="0" xfId="0" applyFill="1"/>
    <xf numFmtId="0" fontId="0" fillId="8" borderId="0" xfId="0" applyFill="1" applyAlignment="1">
      <alignment horizontal="left" vertical="center"/>
    </xf>
    <xf numFmtId="1" fontId="10" fillId="0" borderId="0" xfId="0" applyNumberFormat="1" applyFont="1" applyAlignment="1">
      <alignment horizontal="center" vertical="center"/>
    </xf>
    <xf numFmtId="165" fontId="10" fillId="0" borderId="13" xfId="0" applyNumberFormat="1" applyFont="1" applyBorder="1" applyAlignment="1">
      <alignment horizontal="center"/>
    </xf>
    <xf numFmtId="0" fontId="10" fillId="0" borderId="0" xfId="0" applyFont="1" applyAlignment="1">
      <alignment horizontal="center"/>
    </xf>
    <xf numFmtId="167" fontId="10" fillId="0" borderId="0" xfId="0" applyNumberFormat="1" applyFont="1" applyAlignment="1">
      <alignment horizontal="center"/>
    </xf>
    <xf numFmtId="0" fontId="10" fillId="0" borderId="13" xfId="0" applyFont="1" applyBorder="1" applyAlignment="1">
      <alignment horizontal="center"/>
    </xf>
    <xf numFmtId="167" fontId="10" fillId="0" borderId="13" xfId="0" applyNumberFormat="1" applyFont="1" applyBorder="1" applyAlignment="1">
      <alignment horizontal="center" vertical="center"/>
    </xf>
    <xf numFmtId="167" fontId="10" fillId="0" borderId="13" xfId="0" applyNumberFormat="1" applyFont="1" applyBorder="1" applyAlignment="1">
      <alignment horizontal="center"/>
    </xf>
    <xf numFmtId="0" fontId="9" fillId="0" borderId="18" xfId="0" applyFont="1" applyBorder="1" applyAlignment="1">
      <alignment horizontal="center"/>
    </xf>
    <xf numFmtId="0" fontId="9" fillId="0" borderId="24" xfId="0" applyFont="1" applyBorder="1" applyAlignment="1">
      <alignment horizontal="center"/>
    </xf>
    <xf numFmtId="1" fontId="10" fillId="0" borderId="0" xfId="0" applyNumberFormat="1" applyFont="1" applyAlignment="1">
      <alignment horizontal="center" vertical="center" wrapText="1"/>
    </xf>
    <xf numFmtId="1" fontId="10" fillId="0" borderId="13" xfId="0" applyNumberFormat="1" applyFont="1" applyBorder="1" applyAlignment="1">
      <alignment horizontal="center" vertical="center"/>
    </xf>
    <xf numFmtId="166" fontId="10" fillId="4" borderId="1" xfId="0" applyNumberFormat="1" applyFont="1" applyFill="1" applyBorder="1" applyAlignment="1">
      <alignment horizontal="left" vertical="center"/>
    </xf>
    <xf numFmtId="0" fontId="0" fillId="7" borderId="43" xfId="0" applyFill="1" applyBorder="1"/>
    <xf numFmtId="0" fontId="21" fillId="7" borderId="47" xfId="0" applyFont="1" applyFill="1" applyBorder="1" applyAlignment="1">
      <alignment horizontal="center" vertical="center" wrapText="1"/>
    </xf>
    <xf numFmtId="0" fontId="10" fillId="5" borderId="5" xfId="0" applyFont="1" applyFill="1" applyBorder="1" applyAlignment="1">
      <alignment horizontal="center" vertical="center"/>
    </xf>
    <xf numFmtId="0" fontId="10" fillId="5" borderId="5" xfId="0" applyFont="1" applyFill="1" applyBorder="1" applyAlignment="1">
      <alignment horizontal="center" vertical="center" wrapText="1"/>
    </xf>
    <xf numFmtId="0" fontId="0" fillId="4" borderId="5" xfId="0" applyFill="1" applyBorder="1" applyAlignment="1" applyProtection="1">
      <alignment horizontal="center" vertical="center" wrapText="1"/>
      <protection locked="0"/>
    </xf>
    <xf numFmtId="165" fontId="0" fillId="4" borderId="5" xfId="0" applyNumberFormat="1" applyFill="1" applyBorder="1" applyAlignment="1" applyProtection="1">
      <alignment horizontal="center" vertical="center" wrapText="1"/>
      <protection locked="0"/>
    </xf>
    <xf numFmtId="0" fontId="21" fillId="7" borderId="44" xfId="0" applyFont="1" applyFill="1" applyBorder="1" applyAlignment="1">
      <alignment horizontal="left" vertical="center" wrapText="1"/>
    </xf>
    <xf numFmtId="0" fontId="0" fillId="9" borderId="0" xfId="0" applyFill="1" applyAlignment="1">
      <alignment horizontal="center"/>
    </xf>
    <xf numFmtId="0" fontId="0" fillId="7" borderId="44" xfId="0" applyFill="1" applyBorder="1"/>
    <xf numFmtId="0" fontId="22" fillId="7" borderId="44" xfId="0" applyFont="1" applyFill="1" applyBorder="1"/>
    <xf numFmtId="1" fontId="9" fillId="3" borderId="1" xfId="0" applyNumberFormat="1" applyFont="1" applyFill="1" applyBorder="1" applyAlignment="1">
      <alignment horizontal="left" vertical="center" wrapText="1"/>
    </xf>
    <xf numFmtId="164" fontId="9" fillId="3" borderId="1" xfId="0" applyNumberFormat="1" applyFont="1" applyFill="1" applyBorder="1" applyAlignment="1">
      <alignment horizontal="left" vertical="center" wrapText="1"/>
    </xf>
    <xf numFmtId="164" fontId="0" fillId="3" borderId="1" xfId="0" applyNumberFormat="1" applyFill="1" applyBorder="1" applyAlignment="1">
      <alignment horizontal="right" vertical="center" wrapText="1"/>
    </xf>
    <xf numFmtId="2" fontId="0" fillId="3" borderId="1" xfId="0" applyNumberFormat="1" applyFill="1" applyBorder="1" applyAlignment="1">
      <alignment horizontal="left" vertical="center" wrapText="1"/>
    </xf>
    <xf numFmtId="0" fontId="31" fillId="7" borderId="0" xfId="0" applyFont="1" applyFill="1" applyAlignment="1">
      <alignment vertical="center" wrapText="1"/>
    </xf>
    <xf numFmtId="0" fontId="21" fillId="7" borderId="0" xfId="0" applyFont="1" applyFill="1" applyAlignment="1">
      <alignment wrapText="1"/>
    </xf>
    <xf numFmtId="0" fontId="21" fillId="7" borderId="44" xfId="0" applyFont="1" applyFill="1" applyBorder="1" applyAlignment="1">
      <alignment wrapText="1"/>
    </xf>
    <xf numFmtId="0" fontId="0" fillId="3" borderId="1" xfId="0" applyFill="1" applyBorder="1" applyAlignment="1">
      <alignment horizontal="center" vertical="center" wrapText="1"/>
    </xf>
    <xf numFmtId="164" fontId="0" fillId="3" borderId="1" xfId="0" applyNumberFormat="1" applyFill="1" applyBorder="1" applyAlignment="1">
      <alignment horizontal="left" vertical="center" wrapText="1"/>
    </xf>
    <xf numFmtId="0" fontId="21" fillId="7" borderId="43" xfId="0" applyFont="1" applyFill="1" applyBorder="1" applyAlignment="1">
      <alignment wrapText="1"/>
    </xf>
    <xf numFmtId="0" fontId="0" fillId="7" borderId="43" xfId="0" applyFill="1" applyBorder="1" applyAlignment="1">
      <alignment horizontal="center"/>
    </xf>
    <xf numFmtId="1" fontId="0" fillId="3" borderId="1" xfId="0" applyNumberFormat="1" applyFill="1" applyBorder="1" applyAlignment="1">
      <alignment horizontal="left" vertical="center" wrapText="1"/>
    </xf>
    <xf numFmtId="165" fontId="0" fillId="3" borderId="1" xfId="0" applyNumberFormat="1" applyFill="1" applyBorder="1" applyAlignment="1">
      <alignment horizontal="center" vertical="center" wrapText="1"/>
    </xf>
    <xf numFmtId="166" fontId="10" fillId="4" borderId="1" xfId="0" applyNumberFormat="1" applyFont="1" applyFill="1" applyBorder="1" applyAlignment="1">
      <alignment horizontal="center" vertical="center"/>
    </xf>
    <xf numFmtId="2" fontId="0" fillId="4" borderId="1" xfId="0" applyNumberFormat="1" applyFill="1" applyBorder="1" applyAlignment="1" applyProtection="1">
      <alignment horizontal="center" vertical="center"/>
      <protection locked="0"/>
    </xf>
    <xf numFmtId="0" fontId="0" fillId="3" borderId="1" xfId="0" applyFill="1" applyBorder="1" applyAlignment="1">
      <alignment horizontal="left" vertical="center" wrapText="1"/>
    </xf>
    <xf numFmtId="2" fontId="0" fillId="3" borderId="5" xfId="0" applyNumberFormat="1" applyFill="1" applyBorder="1" applyAlignment="1">
      <alignment horizontal="center" vertical="center" wrapText="1"/>
    </xf>
    <xf numFmtId="164" fontId="0" fillId="4" borderId="5" xfId="0" applyNumberFormat="1" applyFill="1" applyBorder="1" applyAlignment="1" applyProtection="1">
      <alignment horizontal="center" vertical="center" wrapText="1"/>
      <protection locked="0"/>
    </xf>
    <xf numFmtId="2" fontId="10" fillId="3" borderId="5" xfId="1" applyNumberFormat="1" applyFont="1" applyFill="1" applyBorder="1" applyAlignment="1" applyProtection="1">
      <alignment horizontal="center" vertical="center" wrapText="1"/>
    </xf>
    <xf numFmtId="43" fontId="10" fillId="3" borderId="5" xfId="1" applyFont="1" applyFill="1" applyBorder="1" applyAlignment="1" applyProtection="1">
      <alignment horizontal="center" vertical="center" wrapText="1"/>
    </xf>
    <xf numFmtId="166" fontId="10" fillId="3" borderId="5" xfId="0" applyNumberFormat="1" applyFont="1" applyFill="1" applyBorder="1" applyAlignment="1">
      <alignment horizontal="center" vertical="center"/>
    </xf>
    <xf numFmtId="0" fontId="0" fillId="3" borderId="5" xfId="0" applyFill="1" applyBorder="1" applyAlignment="1">
      <alignment horizontal="center" vertical="center"/>
    </xf>
    <xf numFmtId="0" fontId="0" fillId="3" borderId="5" xfId="0" applyFill="1" applyBorder="1" applyAlignment="1">
      <alignment horizontal="left" vertical="center"/>
    </xf>
    <xf numFmtId="0" fontId="0" fillId="3" borderId="5" xfId="0" applyFill="1" applyBorder="1" applyAlignment="1">
      <alignment horizontal="left" vertical="center" wrapText="1"/>
    </xf>
    <xf numFmtId="164" fontId="0" fillId="3" borderId="5" xfId="0" applyNumberFormat="1" applyFill="1" applyBorder="1" applyAlignment="1">
      <alignment horizontal="right" vertical="center" wrapText="1"/>
    </xf>
    <xf numFmtId="168" fontId="0" fillId="3" borderId="5" xfId="0" applyNumberFormat="1" applyFill="1" applyBorder="1" applyAlignment="1">
      <alignment horizontal="left" vertical="center" wrapText="1"/>
    </xf>
    <xf numFmtId="0" fontId="14" fillId="8" borderId="6" xfId="0" applyFont="1" applyFill="1" applyBorder="1" applyAlignment="1">
      <alignment vertical="center"/>
    </xf>
    <xf numFmtId="0" fontId="14" fillId="8" borderId="7" xfId="0" applyFont="1" applyFill="1" applyBorder="1" applyAlignment="1">
      <alignment vertical="center"/>
    </xf>
    <xf numFmtId="0" fontId="15" fillId="8" borderId="7" xfId="0" applyFont="1" applyFill="1" applyBorder="1" applyAlignment="1">
      <alignment vertical="center"/>
    </xf>
    <xf numFmtId="0" fontId="18" fillId="8" borderId="7" xfId="0" applyFont="1" applyFill="1" applyBorder="1" applyAlignment="1">
      <alignment vertical="center"/>
    </xf>
    <xf numFmtId="0" fontId="13" fillId="8" borderId="7" xfId="0" applyFont="1" applyFill="1" applyBorder="1" applyAlignment="1">
      <alignment vertical="center"/>
    </xf>
    <xf numFmtId="2" fontId="13" fillId="8" borderId="8" xfId="0" applyNumberFormat="1" applyFont="1" applyFill="1" applyBorder="1" applyAlignment="1">
      <alignment horizontal="center" vertical="center"/>
    </xf>
    <xf numFmtId="0" fontId="10" fillId="0" borderId="13" xfId="0" applyFont="1" applyBorder="1" applyAlignment="1">
      <alignment horizontal="center" vertical="center"/>
    </xf>
    <xf numFmtId="0" fontId="0" fillId="13" borderId="2" xfId="0" applyFill="1" applyBorder="1"/>
    <xf numFmtId="0" fontId="0" fillId="13" borderId="0" xfId="0" applyFill="1"/>
    <xf numFmtId="0" fontId="0" fillId="13" borderId="12" xfId="0" applyFill="1" applyBorder="1"/>
    <xf numFmtId="0" fontId="0" fillId="7" borderId="2" xfId="0" applyFill="1" applyBorder="1"/>
    <xf numFmtId="0" fontId="0" fillId="7" borderId="12" xfId="0" applyFill="1" applyBorder="1"/>
    <xf numFmtId="0" fontId="12" fillId="3" borderId="2" xfId="0" applyFont="1" applyFill="1" applyBorder="1" applyAlignment="1">
      <alignment horizontal="center" vertical="center" wrapText="1"/>
    </xf>
    <xf numFmtId="0" fontId="12" fillId="3" borderId="0" xfId="0" applyFont="1" applyFill="1" applyAlignment="1">
      <alignment horizontal="center" vertical="center"/>
    </xf>
    <xf numFmtId="0" fontId="12" fillId="3" borderId="0" xfId="0" applyFont="1" applyFill="1" applyAlignment="1">
      <alignment horizontal="center" vertical="center" wrapText="1"/>
    </xf>
    <xf numFmtId="0" fontId="12" fillId="3" borderId="12" xfId="0" applyFont="1" applyFill="1" applyBorder="1" applyAlignment="1">
      <alignment horizontal="center" vertical="center" wrapText="1"/>
    </xf>
    <xf numFmtId="0" fontId="12" fillId="10" borderId="0" xfId="2" applyFont="1" applyFill="1" applyBorder="1" applyAlignment="1" applyProtection="1">
      <alignment vertical="center"/>
    </xf>
    <xf numFmtId="0" fontId="0" fillId="4" borderId="0" xfId="0" applyFill="1" applyAlignment="1">
      <alignment horizontal="left" vertical="center" wrapText="1"/>
    </xf>
    <xf numFmtId="0" fontId="31" fillId="9" borderId="0" xfId="0" applyFont="1" applyFill="1" applyAlignment="1">
      <alignment vertical="center" wrapText="1"/>
    </xf>
    <xf numFmtId="0" fontId="0" fillId="9" borderId="0" xfId="0" applyFill="1" applyAlignment="1">
      <alignment horizontal="left" vertical="center" wrapText="1"/>
    </xf>
    <xf numFmtId="0" fontId="0" fillId="7" borderId="0" xfId="0" applyFill="1" applyAlignment="1">
      <alignment horizontal="left" vertical="center" wrapText="1"/>
    </xf>
    <xf numFmtId="0" fontId="0" fillId="4" borderId="1" xfId="0" applyFill="1" applyBorder="1" applyAlignment="1">
      <alignment horizontal="left" vertical="center"/>
    </xf>
    <xf numFmtId="164" fontId="0" fillId="4" borderId="1" xfId="0" applyNumberFormat="1" applyFill="1" applyBorder="1" applyAlignment="1">
      <alignment horizontal="center" vertical="center"/>
    </xf>
    <xf numFmtId="166" fontId="0" fillId="4" borderId="1" xfId="0" applyNumberFormat="1" applyFill="1" applyBorder="1" applyAlignment="1">
      <alignment horizontal="center" vertical="center"/>
    </xf>
    <xf numFmtId="0" fontId="8" fillId="3" borderId="1" xfId="0" applyFont="1" applyFill="1" applyBorder="1" applyAlignment="1">
      <alignment horizontal="left"/>
    </xf>
    <xf numFmtId="2" fontId="0" fillId="4" borderId="1" xfId="0" applyNumberFormat="1" applyFill="1" applyBorder="1" applyAlignment="1">
      <alignment horizontal="center" vertical="center"/>
    </xf>
    <xf numFmtId="2" fontId="0" fillId="8" borderId="51" xfId="0" applyNumberFormat="1" applyFill="1" applyBorder="1" applyAlignment="1">
      <alignment horizontal="right" vertical="center"/>
    </xf>
    <xf numFmtId="4" fontId="0" fillId="8" borderId="51" xfId="0" applyNumberFormat="1" applyFill="1" applyBorder="1" applyAlignment="1">
      <alignment horizontal="right" vertical="center"/>
    </xf>
    <xf numFmtId="166" fontId="0" fillId="8" borderId="50" xfId="0" applyNumberFormat="1" applyFill="1" applyBorder="1" applyAlignment="1">
      <alignment horizontal="right" vertical="center"/>
    </xf>
    <xf numFmtId="1" fontId="0" fillId="8" borderId="51" xfId="0" applyNumberFormat="1" applyFill="1" applyBorder="1" applyAlignment="1">
      <alignment horizontal="center" vertical="center"/>
    </xf>
    <xf numFmtId="0" fontId="12" fillId="3" borderId="2" xfId="2" applyFont="1" applyFill="1" applyBorder="1" applyAlignment="1" applyProtection="1">
      <alignment horizontal="right" vertical="center"/>
      <protection locked="0"/>
    </xf>
    <xf numFmtId="0" fontId="5" fillId="10" borderId="0" xfId="0" applyFont="1" applyFill="1"/>
    <xf numFmtId="0" fontId="5" fillId="4" borderId="0" xfId="0" applyFont="1" applyFill="1"/>
    <xf numFmtId="0" fontId="5" fillId="7" borderId="0" xfId="0" applyFont="1" applyFill="1"/>
    <xf numFmtId="0" fontId="17" fillId="3" borderId="1" xfId="0" applyFont="1" applyFill="1" applyBorder="1" applyAlignment="1">
      <alignment horizontal="center"/>
    </xf>
    <xf numFmtId="0" fontId="0" fillId="0" borderId="23" xfId="0" applyBorder="1" applyAlignment="1">
      <alignment vertical="center"/>
    </xf>
    <xf numFmtId="0" fontId="4" fillId="0" borderId="0" xfId="0" applyFont="1"/>
    <xf numFmtId="0" fontId="17" fillId="5" borderId="1" xfId="0" applyFont="1" applyFill="1" applyBorder="1" applyAlignment="1">
      <alignment vertical="center"/>
    </xf>
    <xf numFmtId="0" fontId="17" fillId="5" borderId="1" xfId="0" applyFont="1" applyFill="1" applyBorder="1" applyAlignment="1">
      <alignment horizontal="center" vertical="center"/>
    </xf>
    <xf numFmtId="1" fontId="0" fillId="0" borderId="1" xfId="0" applyNumberFormat="1" applyBorder="1" applyAlignment="1" applyProtection="1">
      <alignment horizontal="center" vertical="center" wrapText="1"/>
      <protection locked="0"/>
    </xf>
    <xf numFmtId="9" fontId="0" fillId="0" borderId="1" xfId="0" applyNumberFormat="1" applyBorder="1" applyAlignment="1" applyProtection="1">
      <alignment horizontal="center" vertical="center" wrapText="1"/>
      <protection locked="0"/>
    </xf>
    <xf numFmtId="0" fontId="10" fillId="3" borderId="2" xfId="0" applyFont="1" applyFill="1" applyBorder="1"/>
    <xf numFmtId="0" fontId="12" fillId="3" borderId="55" xfId="2" applyFont="1" applyFill="1" applyBorder="1" applyAlignment="1" applyProtection="1">
      <alignment horizontal="right" vertical="center"/>
      <protection locked="0"/>
    </xf>
    <xf numFmtId="0" fontId="10" fillId="3" borderId="0" xfId="0" applyFont="1" applyFill="1"/>
    <xf numFmtId="0" fontId="10" fillId="3" borderId="12" xfId="0" applyFont="1" applyFill="1" applyBorder="1"/>
    <xf numFmtId="0" fontId="12" fillId="3" borderId="55" xfId="0" applyFont="1" applyFill="1" applyBorder="1" applyAlignment="1">
      <alignment horizontal="right" vertical="center"/>
    </xf>
    <xf numFmtId="43" fontId="40" fillId="8" borderId="51" xfId="1" applyFont="1" applyFill="1" applyBorder="1" applyAlignment="1" applyProtection="1">
      <alignment horizontal="right" vertical="center"/>
    </xf>
    <xf numFmtId="166" fontId="40" fillId="8" borderId="51" xfId="0" applyNumberFormat="1" applyFont="1" applyFill="1" applyBorder="1" applyAlignment="1">
      <alignment horizontal="right" vertical="center"/>
    </xf>
    <xf numFmtId="0" fontId="35" fillId="7" borderId="41" xfId="0" applyFont="1" applyFill="1" applyBorder="1" applyAlignment="1">
      <alignment vertical="center"/>
    </xf>
    <xf numFmtId="0" fontId="35" fillId="7" borderId="29" xfId="0" applyFont="1" applyFill="1" applyBorder="1" applyAlignment="1">
      <alignment vertical="center"/>
    </xf>
    <xf numFmtId="0" fontId="36" fillId="7" borderId="29" xfId="0" applyFont="1" applyFill="1" applyBorder="1" applyAlignment="1">
      <alignment vertical="center"/>
    </xf>
    <xf numFmtId="2" fontId="37" fillId="7" borderId="30" xfId="0" applyNumberFormat="1" applyFont="1" applyFill="1" applyBorder="1" applyAlignment="1">
      <alignment horizontal="center" vertical="center"/>
    </xf>
    <xf numFmtId="0" fontId="0" fillId="3" borderId="5" xfId="0" applyFill="1" applyBorder="1" applyAlignment="1">
      <alignment horizontal="center" vertical="center" wrapText="1"/>
    </xf>
    <xf numFmtId="164" fontId="0" fillId="3" borderId="5" xfId="0" applyNumberFormat="1" applyFill="1" applyBorder="1" applyAlignment="1">
      <alignment horizontal="center" vertical="center" wrapText="1"/>
    </xf>
    <xf numFmtId="0" fontId="0" fillId="4" borderId="0" xfId="0" applyFill="1" applyAlignment="1">
      <alignment vertical="top"/>
    </xf>
    <xf numFmtId="0" fontId="8" fillId="4" borderId="0" xfId="0" applyFont="1" applyFill="1" applyAlignment="1">
      <alignment horizontal="left" vertical="top"/>
    </xf>
    <xf numFmtId="0" fontId="0" fillId="4" borderId="35" xfId="0" applyFill="1" applyBorder="1" applyAlignment="1">
      <alignment vertical="top"/>
    </xf>
    <xf numFmtId="0" fontId="8" fillId="4" borderId="0" xfId="0" applyFont="1" applyFill="1" applyAlignment="1">
      <alignment horizontal="left" vertical="top" indent="18"/>
    </xf>
    <xf numFmtId="0" fontId="0" fillId="4" borderId="26" xfId="0" applyFill="1" applyBorder="1" applyAlignment="1">
      <alignment vertical="top"/>
    </xf>
    <xf numFmtId="0" fontId="8" fillId="4" borderId="0" xfId="0" applyFont="1" applyFill="1" applyAlignment="1">
      <alignment horizontal="left" vertical="top" wrapText="1" indent="18"/>
    </xf>
    <xf numFmtId="0" fontId="0" fillId="4" borderId="0" xfId="0" applyFill="1" applyAlignment="1">
      <alignment vertical="top" wrapText="1"/>
    </xf>
    <xf numFmtId="0" fontId="8" fillId="4" borderId="0" xfId="0" applyFont="1" applyFill="1" applyAlignment="1">
      <alignment vertical="top"/>
    </xf>
    <xf numFmtId="0" fontId="8" fillId="4" borderId="31"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5" xfId="0" applyFont="1" applyFill="1" applyBorder="1" applyAlignment="1">
      <alignment horizontal="center" vertical="center" wrapText="1"/>
    </xf>
    <xf numFmtId="0" fontId="8" fillId="4" borderId="32" xfId="0" applyFont="1" applyFill="1" applyBorder="1" applyAlignment="1">
      <alignment horizontal="center" vertical="center"/>
    </xf>
    <xf numFmtId="0" fontId="8" fillId="4" borderId="0" xfId="0" applyFont="1" applyFill="1"/>
    <xf numFmtId="164" fontId="0" fillId="4" borderId="25" xfId="0" applyNumberFormat="1" applyFill="1" applyBorder="1" applyAlignment="1">
      <alignment horizontal="center" vertical="center"/>
    </xf>
    <xf numFmtId="14" fontId="0" fillId="4" borderId="1" xfId="0" applyNumberFormat="1" applyFill="1" applyBorder="1" applyAlignment="1">
      <alignment horizontal="left" vertical="center" indent="1"/>
    </xf>
    <xf numFmtId="0" fontId="0" fillId="4" borderId="1" xfId="0" applyFill="1" applyBorder="1" applyAlignment="1">
      <alignment horizontal="left" vertical="center" wrapText="1" indent="1"/>
    </xf>
    <xf numFmtId="0" fontId="0" fillId="4" borderId="4" xfId="0" applyFill="1" applyBorder="1" applyAlignment="1">
      <alignment horizontal="left" vertical="center" indent="1"/>
    </xf>
    <xf numFmtId="0" fontId="0" fillId="4" borderId="1" xfId="0" applyFill="1" applyBorder="1" applyAlignment="1">
      <alignment horizontal="left" vertical="center" indent="1"/>
    </xf>
    <xf numFmtId="164" fontId="0" fillId="4" borderId="34" xfId="0" applyNumberFormat="1" applyFill="1" applyBorder="1" applyAlignment="1">
      <alignment horizontal="left" vertical="center"/>
    </xf>
    <xf numFmtId="0" fontId="0" fillId="4" borderId="20" xfId="0" applyFill="1" applyBorder="1" applyAlignment="1">
      <alignment horizontal="left" vertical="center" indent="1"/>
    </xf>
    <xf numFmtId="0" fontId="0" fillId="4" borderId="20" xfId="0" applyFill="1" applyBorder="1" applyAlignment="1">
      <alignment horizontal="left" vertical="center" wrapText="1" indent="1"/>
    </xf>
    <xf numFmtId="0" fontId="0" fillId="4" borderId="33" xfId="0" applyFill="1" applyBorder="1" applyAlignment="1">
      <alignment horizontal="left" vertical="center" indent="1"/>
    </xf>
    <xf numFmtId="0" fontId="0" fillId="4" borderId="0" xfId="0" applyFill="1" applyAlignment="1">
      <alignment horizontal="left" vertical="top"/>
    </xf>
    <xf numFmtId="0" fontId="0" fillId="4" borderId="0" xfId="0" applyFill="1" applyAlignment="1">
      <alignment horizontal="left" vertical="top" wrapText="1"/>
    </xf>
    <xf numFmtId="0" fontId="0" fillId="4" borderId="0" xfId="0" applyFill="1" applyAlignment="1">
      <alignment vertical="center"/>
    </xf>
    <xf numFmtId="165" fontId="10" fillId="0" borderId="1" xfId="0" applyNumberFormat="1" applyFont="1" applyBorder="1" applyAlignment="1">
      <alignment horizontal="center" vertical="center" wrapText="1"/>
    </xf>
    <xf numFmtId="165" fontId="0" fillId="0" borderId="1" xfId="0" applyNumberFormat="1" applyBorder="1" applyAlignment="1">
      <alignment horizontal="center"/>
    </xf>
    <xf numFmtId="0" fontId="17" fillId="3" borderId="10" xfId="0" applyFont="1" applyFill="1" applyBorder="1" applyAlignment="1">
      <alignment vertical="center"/>
    </xf>
    <xf numFmtId="0" fontId="17" fillId="3" borderId="28" xfId="0" applyFont="1" applyFill="1" applyBorder="1" applyAlignment="1">
      <alignment vertical="center"/>
    </xf>
    <xf numFmtId="0" fontId="17" fillId="3" borderId="37" xfId="0" applyFont="1" applyFill="1" applyBorder="1" applyAlignment="1">
      <alignment vertical="center"/>
    </xf>
    <xf numFmtId="0" fontId="17" fillId="3" borderId="19" xfId="0" applyFont="1" applyFill="1" applyBorder="1" applyAlignment="1">
      <alignment horizontal="center"/>
    </xf>
    <xf numFmtId="0" fontId="17" fillId="3" borderId="20" xfId="0" applyFont="1" applyFill="1" applyBorder="1" applyAlignment="1">
      <alignment horizontal="center"/>
    </xf>
    <xf numFmtId="0" fontId="17" fillId="3" borderId="21" xfId="0" applyFont="1" applyFill="1" applyBorder="1" applyAlignment="1">
      <alignment horizontal="center"/>
    </xf>
    <xf numFmtId="0" fontId="46" fillId="0" borderId="1" xfId="0" applyFont="1" applyBorder="1" applyAlignment="1">
      <alignment horizontal="center" vertical="center"/>
    </xf>
    <xf numFmtId="0" fontId="46" fillId="0" borderId="1" xfId="0" applyFont="1" applyBorder="1" applyAlignment="1">
      <alignment horizontal="center" vertical="center" wrapText="1"/>
    </xf>
    <xf numFmtId="3" fontId="46" fillId="0" borderId="1" xfId="0" applyNumberFormat="1" applyFont="1" applyBorder="1" applyAlignment="1">
      <alignment horizontal="center" vertical="center"/>
    </xf>
    <xf numFmtId="3" fontId="46" fillId="0" borderId="1" xfId="0" applyNumberFormat="1" applyFont="1" applyBorder="1" applyAlignment="1">
      <alignment horizontal="center" vertical="center" wrapText="1"/>
    </xf>
    <xf numFmtId="0" fontId="46" fillId="0" borderId="5" xfId="0" applyFont="1" applyBorder="1" applyAlignment="1">
      <alignment horizontal="center" vertical="center"/>
    </xf>
    <xf numFmtId="0" fontId="46" fillId="0" borderId="5" xfId="0" applyFont="1" applyBorder="1" applyAlignment="1">
      <alignment horizontal="center" vertical="center" wrapText="1"/>
    </xf>
    <xf numFmtId="0" fontId="46" fillId="0" borderId="38" xfId="0" applyFont="1" applyBorder="1" applyAlignment="1">
      <alignment horizontal="left" vertical="center"/>
    </xf>
    <xf numFmtId="0" fontId="46" fillId="0" borderId="39" xfId="0" applyFont="1" applyBorder="1" applyAlignment="1">
      <alignment horizontal="center" vertical="center" wrapText="1"/>
    </xf>
    <xf numFmtId="0" fontId="46" fillId="0" borderId="17" xfId="0" applyFont="1" applyBorder="1" applyAlignment="1">
      <alignment horizontal="left" vertical="center"/>
    </xf>
    <xf numFmtId="0" fontId="46" fillId="0" borderId="18" xfId="0" applyFont="1" applyBorder="1" applyAlignment="1">
      <alignment horizontal="center" vertical="center" wrapText="1"/>
    </xf>
    <xf numFmtId="3" fontId="46" fillId="0" borderId="18" xfId="0" applyNumberFormat="1" applyFont="1" applyBorder="1" applyAlignment="1">
      <alignment horizontal="center" vertical="center" wrapText="1"/>
    </xf>
    <xf numFmtId="0" fontId="46" fillId="0" borderId="22" xfId="0" applyFont="1" applyBorder="1" applyAlignment="1">
      <alignment horizontal="left" vertical="center"/>
    </xf>
    <xf numFmtId="0" fontId="46" fillId="0" borderId="23" xfId="0" applyFont="1" applyBorder="1" applyAlignment="1">
      <alignment horizontal="center" vertical="center"/>
    </xf>
    <xf numFmtId="0" fontId="46" fillId="0" borderId="23" xfId="0" applyFont="1" applyBorder="1" applyAlignment="1">
      <alignment horizontal="center" vertical="center" wrapText="1"/>
    </xf>
    <xf numFmtId="0" fontId="46" fillId="0" borderId="24" xfId="0" applyFont="1" applyBorder="1" applyAlignment="1">
      <alignment horizontal="center" vertical="center" wrapText="1"/>
    </xf>
    <xf numFmtId="0" fontId="8" fillId="3" borderId="4" xfId="0" applyFont="1" applyFill="1" applyBorder="1" applyAlignment="1">
      <alignment vertical="center"/>
    </xf>
    <xf numFmtId="0" fontId="0" fillId="4" borderId="4" xfId="0" applyFill="1" applyBorder="1" applyAlignment="1">
      <alignment horizontal="left"/>
    </xf>
    <xf numFmtId="0" fontId="0" fillId="4" borderId="33" xfId="0" applyFill="1" applyBorder="1" applyAlignment="1">
      <alignment horizontal="left"/>
    </xf>
    <xf numFmtId="0" fontId="0" fillId="4" borderId="59" xfId="0" applyFill="1" applyBorder="1" applyAlignment="1">
      <alignment horizontal="left"/>
    </xf>
    <xf numFmtId="3" fontId="9" fillId="4" borderId="1" xfId="0" applyNumberFormat="1" applyFont="1" applyFill="1" applyBorder="1" applyAlignment="1" applyProtection="1">
      <alignment horizontal="center" vertical="center"/>
      <protection locked="0"/>
    </xf>
    <xf numFmtId="0" fontId="0" fillId="16" borderId="1" xfId="0" applyFill="1" applyBorder="1" applyAlignment="1">
      <alignment horizontal="center"/>
    </xf>
    <xf numFmtId="0" fontId="0" fillId="16" borderId="20" xfId="0" applyFill="1" applyBorder="1" applyAlignment="1">
      <alignment horizontal="center"/>
    </xf>
    <xf numFmtId="0" fontId="0" fillId="16" borderId="23" xfId="0" applyFill="1" applyBorder="1" applyAlignment="1">
      <alignment horizontal="center"/>
    </xf>
    <xf numFmtId="165" fontId="0" fillId="16" borderId="1" xfId="0" applyNumberFormat="1" applyFill="1" applyBorder="1" applyAlignment="1">
      <alignment horizontal="center" vertical="center"/>
    </xf>
    <xf numFmtId="165" fontId="0" fillId="16" borderId="23" xfId="0" applyNumberFormat="1" applyFill="1" applyBorder="1" applyAlignment="1">
      <alignment horizontal="center" vertical="center"/>
    </xf>
    <xf numFmtId="0" fontId="46" fillId="0" borderId="1" xfId="0" applyFont="1" applyBorder="1" applyAlignment="1">
      <alignment horizontal="left" vertical="center" wrapText="1"/>
    </xf>
    <xf numFmtId="0" fontId="46" fillId="0" borderId="15" xfId="0" applyFont="1" applyBorder="1" applyAlignment="1">
      <alignment horizontal="left" vertical="center" wrapText="1"/>
    </xf>
    <xf numFmtId="0" fontId="46" fillId="0" borderId="16"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17" xfId="0" applyFont="1" applyBorder="1" applyAlignment="1">
      <alignment horizontal="left" vertical="center" wrapText="1"/>
    </xf>
    <xf numFmtId="0" fontId="46" fillId="0" borderId="22" xfId="0" applyFont="1" applyBorder="1" applyAlignment="1">
      <alignment horizontal="left" vertical="center" wrapText="1"/>
    </xf>
    <xf numFmtId="3" fontId="0" fillId="4" borderId="1" xfId="0" applyNumberFormat="1" applyFill="1" applyBorder="1" applyAlignment="1" applyProtection="1">
      <alignment horizontal="center" vertical="center"/>
      <protection locked="0"/>
    </xf>
    <xf numFmtId="164" fontId="0" fillId="0" borderId="0" xfId="0" applyNumberFormat="1" applyAlignment="1">
      <alignment horizontal="center" vertical="center"/>
    </xf>
    <xf numFmtId="166" fontId="0" fillId="0" borderId="0" xfId="0" applyNumberFormat="1" applyAlignment="1">
      <alignment horizontal="center" vertical="center"/>
    </xf>
    <xf numFmtId="0" fontId="22" fillId="0" borderId="1" xfId="0" applyFont="1" applyBorder="1"/>
    <xf numFmtId="0" fontId="0" fillId="9" borderId="0" xfId="0" applyFill="1" applyAlignment="1">
      <alignment wrapText="1"/>
    </xf>
    <xf numFmtId="0" fontId="0" fillId="4" borderId="0" xfId="0" applyFill="1" applyAlignment="1">
      <alignment horizontal="center" wrapText="1"/>
    </xf>
    <xf numFmtId="0" fontId="8" fillId="3" borderId="1" xfId="0" applyFont="1" applyFill="1" applyBorder="1" applyAlignment="1">
      <alignment horizontal="center" wrapText="1"/>
    </xf>
    <xf numFmtId="0" fontId="8" fillId="3" borderId="1" xfId="0" applyFont="1" applyFill="1" applyBorder="1" applyAlignment="1">
      <alignment horizontal="left" wrapText="1"/>
    </xf>
    <xf numFmtId="0" fontId="8" fillId="3" borderId="1" xfId="0" applyFont="1" applyFill="1" applyBorder="1" applyAlignment="1">
      <alignment horizontal="left" vertical="center" wrapText="1"/>
    </xf>
    <xf numFmtId="0" fontId="8" fillId="3" borderId="0" xfId="0" applyFont="1" applyFill="1" applyAlignment="1">
      <alignment horizontal="center" vertical="center" wrapText="1"/>
    </xf>
    <xf numFmtId="0" fontId="0" fillId="4" borderId="0" xfId="0" applyFill="1" applyAlignment="1">
      <alignment wrapText="1"/>
    </xf>
    <xf numFmtId="0" fontId="0" fillId="0" borderId="0" xfId="0" applyAlignment="1">
      <alignment wrapText="1"/>
    </xf>
    <xf numFmtId="3" fontId="0" fillId="4" borderId="5" xfId="0" applyNumberFormat="1" applyFill="1" applyBorder="1" applyAlignment="1" applyProtection="1">
      <alignment horizontal="center" vertical="center"/>
      <protection locked="0"/>
    </xf>
    <xf numFmtId="166" fontId="0" fillId="3" borderId="1" xfId="0" applyNumberFormat="1" applyFill="1" applyBorder="1" applyAlignment="1">
      <alignment horizontal="center" vertical="center"/>
    </xf>
    <xf numFmtId="0" fontId="0" fillId="3" borderId="1" xfId="0" applyFill="1" applyBorder="1"/>
    <xf numFmtId="0" fontId="8" fillId="6" borderId="26" xfId="0" applyFont="1" applyFill="1" applyBorder="1" applyAlignment="1">
      <alignment vertical="center"/>
    </xf>
    <xf numFmtId="0" fontId="8" fillId="6" borderId="25" xfId="0" applyFont="1" applyFill="1" applyBorder="1" applyAlignment="1">
      <alignment vertical="center"/>
    </xf>
    <xf numFmtId="166" fontId="0" fillId="8" borderId="1" xfId="0" applyNumberFormat="1" applyFill="1" applyBorder="1" applyAlignment="1">
      <alignment horizontal="center" vertical="center"/>
    </xf>
    <xf numFmtId="0" fontId="0" fillId="8" borderId="1" xfId="0" applyFill="1" applyBorder="1" applyAlignment="1">
      <alignment horizontal="center"/>
    </xf>
    <xf numFmtId="0" fontId="0" fillId="8" borderId="1" xfId="0" applyFill="1" applyBorder="1"/>
    <xf numFmtId="0" fontId="0" fillId="16" borderId="1" xfId="0" applyFill="1" applyBorder="1"/>
    <xf numFmtId="164" fontId="49" fillId="3" borderId="1" xfId="0" applyNumberFormat="1" applyFont="1" applyFill="1" applyBorder="1" applyAlignment="1">
      <alignment horizontal="center" vertical="center" wrapText="1"/>
    </xf>
    <xf numFmtId="0" fontId="50" fillId="3" borderId="1" xfId="0" applyFont="1" applyFill="1" applyBorder="1"/>
    <xf numFmtId="0" fontId="49" fillId="0" borderId="1" xfId="0" applyFont="1" applyBorder="1"/>
    <xf numFmtId="2" fontId="11" fillId="3" borderId="1" xfId="0" applyNumberFormat="1" applyFont="1" applyFill="1" applyBorder="1" applyAlignment="1">
      <alignment horizontal="center" vertical="center" wrapText="1"/>
    </xf>
    <xf numFmtId="3" fontId="0" fillId="0" borderId="1" xfId="0" applyNumberFormat="1" applyBorder="1" applyAlignment="1" applyProtection="1">
      <alignment horizontal="center" vertical="center"/>
      <protection locked="0"/>
    </xf>
    <xf numFmtId="0" fontId="0" fillId="4" borderId="33" xfId="0" applyFill="1" applyBorder="1"/>
    <xf numFmtId="0" fontId="0" fillId="4" borderId="29" xfId="0" applyFill="1" applyBorder="1"/>
    <xf numFmtId="0" fontId="0" fillId="4" borderId="34" xfId="0" applyFill="1" applyBorder="1"/>
    <xf numFmtId="0" fontId="8" fillId="5" borderId="4" xfId="0" applyFont="1" applyFill="1" applyBorder="1" applyAlignment="1">
      <alignment vertical="center"/>
    </xf>
    <xf numFmtId="0" fontId="8" fillId="5" borderId="26" xfId="0" applyFont="1" applyFill="1" applyBorder="1" applyAlignment="1">
      <alignment vertical="center"/>
    </xf>
    <xf numFmtId="0" fontId="8" fillId="5" borderId="25" xfId="0" applyFont="1" applyFill="1" applyBorder="1" applyAlignment="1">
      <alignment vertical="center"/>
    </xf>
    <xf numFmtId="164" fontId="0" fillId="4" borderId="5" xfId="0" applyNumberFormat="1" applyFill="1" applyBorder="1" applyAlignment="1" applyProtection="1">
      <alignment horizontal="center" vertical="center"/>
      <protection locked="0"/>
    </xf>
    <xf numFmtId="0" fontId="0" fillId="21" borderId="0" xfId="0" applyFill="1"/>
    <xf numFmtId="0" fontId="52" fillId="20" borderId="0" xfId="8" applyAlignment="1">
      <alignment vertical="center"/>
    </xf>
    <xf numFmtId="0" fontId="0" fillId="22" borderId="0" xfId="0" applyFill="1"/>
    <xf numFmtId="0" fontId="5" fillId="23" borderId="1" xfId="0" applyFont="1" applyFill="1" applyBorder="1" applyAlignment="1">
      <alignment horizontal="center" vertical="center" wrapText="1"/>
    </xf>
    <xf numFmtId="0" fontId="0" fillId="24" borderId="1" xfId="0" applyFill="1" applyBorder="1" applyAlignment="1">
      <alignment horizontal="center" vertical="center" wrapText="1"/>
    </xf>
    <xf numFmtId="1" fontId="4" fillId="0" borderId="1" xfId="1" applyNumberFormat="1" applyFont="1" applyFill="1" applyBorder="1" applyAlignment="1" applyProtection="1">
      <alignment horizontal="center" vertical="center"/>
      <protection locked="0"/>
    </xf>
    <xf numFmtId="1" fontId="52" fillId="20" borderId="1" xfId="8" applyNumberFormat="1" applyBorder="1" applyAlignment="1" applyProtection="1">
      <alignment horizontal="center" vertical="center"/>
      <protection locked="0"/>
    </xf>
    <xf numFmtId="2" fontId="0" fillId="0" borderId="1" xfId="0" applyNumberFormat="1" applyBorder="1" applyAlignment="1" applyProtection="1">
      <alignment horizontal="center" vertical="center" wrapText="1"/>
      <protection locked="0"/>
    </xf>
    <xf numFmtId="169" fontId="0" fillId="25" borderId="1" xfId="0" applyNumberFormat="1" applyFill="1" applyBorder="1" applyAlignment="1">
      <alignment horizontal="center" vertical="center"/>
    </xf>
    <xf numFmtId="2" fontId="0" fillId="25" borderId="1" xfId="0" applyNumberFormat="1" applyFill="1" applyBorder="1" applyAlignment="1">
      <alignment horizontal="center" vertical="center" wrapText="1"/>
    </xf>
    <xf numFmtId="1" fontId="0" fillId="25" borderId="1" xfId="0" applyNumberFormat="1" applyFill="1" applyBorder="1" applyAlignment="1">
      <alignment horizontal="center" vertical="center"/>
    </xf>
    <xf numFmtId="2" fontId="0" fillId="25" borderId="1" xfId="0" applyNumberFormat="1" applyFill="1" applyBorder="1" applyAlignment="1">
      <alignment horizontal="center" vertical="center"/>
    </xf>
    <xf numFmtId="4" fontId="0" fillId="25" borderId="1" xfId="0" applyNumberFormat="1" applyFill="1" applyBorder="1" applyAlignment="1">
      <alignment horizontal="center" vertical="center"/>
    </xf>
    <xf numFmtId="3" fontId="0" fillId="25" borderId="1" xfId="0" applyNumberFormat="1" applyFill="1" applyBorder="1" applyAlignment="1">
      <alignment horizontal="center" vertical="center"/>
    </xf>
    <xf numFmtId="169" fontId="0" fillId="24" borderId="1" xfId="0" applyNumberFormat="1" applyFill="1" applyBorder="1" applyAlignment="1">
      <alignment horizontal="center" vertical="center"/>
    </xf>
    <xf numFmtId="166" fontId="4" fillId="24" borderId="1" xfId="6" applyNumberFormat="1" applyFont="1" applyFill="1" applyBorder="1" applyAlignment="1">
      <alignment horizontal="center" vertical="center"/>
    </xf>
    <xf numFmtId="0" fontId="0" fillId="24" borderId="1" xfId="0" applyFill="1" applyBorder="1" applyAlignment="1">
      <alignment horizontal="center" vertical="center"/>
    </xf>
    <xf numFmtId="166" fontId="0" fillId="0" borderId="0" xfId="0" applyNumberFormat="1"/>
    <xf numFmtId="4" fontId="0" fillId="0" borderId="0" xfId="0" applyNumberFormat="1" applyAlignment="1">
      <alignment horizontal="center" vertical="center"/>
    </xf>
    <xf numFmtId="0" fontId="8" fillId="0" borderId="0" xfId="0" applyFont="1"/>
    <xf numFmtId="2" fontId="0" fillId="0" borderId="0" xfId="0" applyNumberFormat="1" applyAlignment="1">
      <alignment horizontal="center" vertical="center"/>
    </xf>
    <xf numFmtId="0" fontId="8" fillId="25" borderId="1" xfId="0" applyFont="1" applyFill="1" applyBorder="1" applyAlignment="1">
      <alignment horizontal="center" vertical="center"/>
    </xf>
    <xf numFmtId="0" fontId="10" fillId="4" borderId="1" xfId="7" applyFont="1" applyFill="1" applyBorder="1" applyAlignment="1">
      <alignment horizontal="center" vertical="center" wrapText="1"/>
    </xf>
    <xf numFmtId="166" fontId="10" fillId="4" borderId="1" xfId="6" applyNumberFormat="1" applyFont="1" applyFill="1" applyBorder="1" applyAlignment="1">
      <alignment horizontal="center" vertical="center" wrapText="1"/>
    </xf>
    <xf numFmtId="0" fontId="8" fillId="3" borderId="11" xfId="0" applyFont="1" applyFill="1" applyBorder="1" applyAlignment="1">
      <alignment horizontal="center"/>
    </xf>
    <xf numFmtId="0" fontId="8" fillId="3" borderId="25" xfId="0" applyFont="1" applyFill="1" applyBorder="1" applyAlignment="1">
      <alignment horizontal="center"/>
    </xf>
    <xf numFmtId="0" fontId="8" fillId="3" borderId="18" xfId="0" applyFont="1" applyFill="1" applyBorder="1" applyAlignment="1">
      <alignment horizontal="center"/>
    </xf>
    <xf numFmtId="0" fontId="52" fillId="20" borderId="19" xfId="8" applyBorder="1" applyAlignment="1">
      <alignment horizontal="center"/>
    </xf>
    <xf numFmtId="0" fontId="52" fillId="20" borderId="20" xfId="8" applyBorder="1" applyAlignment="1">
      <alignment horizontal="center"/>
    </xf>
    <xf numFmtId="0" fontId="52" fillId="20" borderId="1" xfId="8" applyBorder="1" applyAlignment="1">
      <alignment horizontal="center"/>
    </xf>
    <xf numFmtId="0" fontId="52" fillId="20" borderId="18" xfId="8" applyBorder="1" applyAlignment="1">
      <alignment horizontal="center"/>
    </xf>
    <xf numFmtId="0" fontId="8" fillId="3" borderId="60" xfId="0" applyFont="1" applyFill="1" applyBorder="1" applyAlignment="1">
      <alignment horizontal="center" wrapText="1"/>
    </xf>
    <xf numFmtId="0" fontId="8" fillId="3" borderId="61" xfId="0" applyFont="1" applyFill="1" applyBorder="1" applyAlignment="1">
      <alignment horizontal="center" wrapText="1"/>
    </xf>
    <xf numFmtId="3" fontId="8" fillId="3" borderId="61" xfId="0" applyNumberFormat="1" applyFont="1" applyFill="1" applyBorder="1" applyAlignment="1">
      <alignment horizontal="center" wrapText="1"/>
    </xf>
    <xf numFmtId="3" fontId="8" fillId="3" borderId="62" xfId="0" applyNumberFormat="1" applyFont="1" applyFill="1" applyBorder="1" applyAlignment="1">
      <alignment horizontal="center" wrapText="1"/>
    </xf>
    <xf numFmtId="0" fontId="52" fillId="20" borderId="17" xfId="8" applyBorder="1" applyAlignment="1">
      <alignment horizontal="left" vertical="center"/>
    </xf>
    <xf numFmtId="0" fontId="52" fillId="20" borderId="1" xfId="8" applyBorder="1" applyAlignment="1">
      <alignment horizontal="center" vertical="center"/>
    </xf>
    <xf numFmtId="2" fontId="52" fillId="20" borderId="1" xfId="8" applyNumberFormat="1" applyBorder="1" applyAlignment="1">
      <alignment horizontal="center" vertical="center"/>
    </xf>
    <xf numFmtId="0" fontId="52" fillId="20" borderId="18" xfId="8" applyBorder="1"/>
    <xf numFmtId="3" fontId="8" fillId="3" borderId="1" xfId="0" applyNumberFormat="1" applyFont="1" applyFill="1" applyBorder="1" applyAlignment="1">
      <alignment horizontal="center" vertical="center" wrapText="1"/>
    </xf>
    <xf numFmtId="169" fontId="0" fillId="0" borderId="1" xfId="0" applyNumberFormat="1" applyBorder="1" applyAlignment="1">
      <alignment horizontal="center" vertical="center"/>
    </xf>
    <xf numFmtId="0" fontId="52" fillId="20" borderId="17" xfId="8" applyBorder="1"/>
    <xf numFmtId="3" fontId="0" fillId="0" borderId="1" xfId="0" applyNumberFormat="1" applyBorder="1" applyAlignment="1">
      <alignment horizontal="center"/>
    </xf>
    <xf numFmtId="169" fontId="52" fillId="20" borderId="1" xfId="8" applyNumberFormat="1" applyBorder="1" applyAlignment="1">
      <alignment horizontal="center" vertical="center"/>
    </xf>
    <xf numFmtId="0" fontId="0" fillId="0" borderId="1" xfId="0" applyBorder="1" applyAlignment="1">
      <alignment horizontal="center" vertical="center" wrapText="1"/>
    </xf>
    <xf numFmtId="2" fontId="52" fillId="20" borderId="18" xfId="8" applyNumberFormat="1" applyBorder="1" applyAlignment="1">
      <alignment horizontal="center" vertical="center"/>
    </xf>
    <xf numFmtId="0" fontId="52" fillId="20" borderId="22" xfId="8" applyBorder="1"/>
    <xf numFmtId="0" fontId="52" fillId="20" borderId="23" xfId="8" applyBorder="1" applyAlignment="1">
      <alignment horizontal="center" vertical="center"/>
    </xf>
    <xf numFmtId="2" fontId="52" fillId="20" borderId="23" xfId="8" applyNumberFormat="1" applyBorder="1" applyAlignment="1">
      <alignment horizontal="center" vertical="center"/>
    </xf>
    <xf numFmtId="2" fontId="52" fillId="20" borderId="24" xfId="8" applyNumberFormat="1" applyBorder="1" applyAlignment="1">
      <alignment horizontal="center" vertical="center"/>
    </xf>
    <xf numFmtId="0" fontId="52" fillId="20" borderId="17" xfId="8" applyBorder="1" applyAlignment="1">
      <alignment horizontal="center"/>
    </xf>
    <xf numFmtId="0" fontId="10" fillId="3" borderId="1" xfId="0" applyFont="1" applyFill="1" applyBorder="1" applyAlignment="1">
      <alignment horizontal="center" vertical="center" wrapText="1"/>
    </xf>
    <xf numFmtId="0" fontId="12" fillId="3" borderId="2" xfId="0" applyFont="1" applyFill="1" applyBorder="1" applyAlignment="1">
      <alignment horizontal="right" vertical="center"/>
    </xf>
    <xf numFmtId="0" fontId="8" fillId="3" borderId="1"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1" xfId="0" applyFont="1" applyFill="1" applyBorder="1" applyAlignment="1">
      <alignment horizontal="center"/>
    </xf>
    <xf numFmtId="0" fontId="21" fillId="7" borderId="0" xfId="0" applyFont="1" applyFill="1" applyAlignment="1">
      <alignment horizontal="center" vertical="center" wrapText="1"/>
    </xf>
    <xf numFmtId="0" fontId="21" fillId="9" borderId="0" xfId="0" applyFont="1" applyFill="1" applyAlignment="1">
      <alignment horizontal="center" vertical="center" wrapText="1"/>
    </xf>
    <xf numFmtId="0" fontId="21" fillId="7" borderId="46" xfId="0" applyFont="1" applyFill="1" applyBorder="1" applyAlignment="1">
      <alignment horizontal="center" vertical="center" wrapText="1"/>
    </xf>
    <xf numFmtId="0" fontId="31" fillId="7" borderId="0" xfId="0" applyFont="1" applyFill="1" applyAlignment="1">
      <alignment horizontal="left" wrapText="1"/>
    </xf>
    <xf numFmtId="0" fontId="21" fillId="7" borderId="44" xfId="0" applyFont="1" applyFill="1" applyBorder="1" applyAlignment="1">
      <alignment horizontal="center" vertical="center" wrapText="1"/>
    </xf>
    <xf numFmtId="0" fontId="21" fillId="7" borderId="49" xfId="0" applyFont="1" applyFill="1" applyBorder="1" applyAlignment="1">
      <alignment horizontal="center" vertical="center" wrapText="1"/>
    </xf>
    <xf numFmtId="0" fontId="8" fillId="5" borderId="1" xfId="0" applyFont="1" applyFill="1" applyBorder="1" applyAlignment="1">
      <alignment horizontal="center"/>
    </xf>
    <xf numFmtId="0" fontId="8" fillId="3" borderId="1" xfId="0" applyFont="1" applyFill="1" applyBorder="1" applyAlignment="1">
      <alignment horizontal="center" vertical="center"/>
    </xf>
    <xf numFmtId="0" fontId="8" fillId="3" borderId="5" xfId="0" applyFont="1" applyFill="1" applyBorder="1" applyAlignment="1">
      <alignment horizontal="center" vertical="center" wrapText="1"/>
    </xf>
    <xf numFmtId="0" fontId="8" fillId="6" borderId="1" xfId="0" applyFont="1" applyFill="1" applyBorder="1" applyAlignment="1">
      <alignment horizontal="left" vertical="center"/>
    </xf>
    <xf numFmtId="164" fontId="0" fillId="26" borderId="1" xfId="0" applyNumberFormat="1" applyFill="1" applyBorder="1" applyAlignment="1">
      <alignment horizontal="center" vertical="center"/>
    </xf>
    <xf numFmtId="164" fontId="58" fillId="3" borderId="1" xfId="0" applyNumberFormat="1" applyFont="1" applyFill="1" applyBorder="1" applyAlignment="1">
      <alignment horizontal="center" vertical="center" wrapText="1"/>
    </xf>
    <xf numFmtId="0" fontId="59" fillId="3" borderId="1" xfId="0" applyFont="1" applyFill="1" applyBorder="1" applyAlignment="1">
      <alignment horizontal="center" vertical="center"/>
    </xf>
    <xf numFmtId="0" fontId="59" fillId="3" borderId="1" xfId="0" applyFont="1" applyFill="1" applyBorder="1" applyAlignment="1">
      <alignment horizontal="center" vertical="center" wrapText="1"/>
    </xf>
    <xf numFmtId="0" fontId="59" fillId="3" borderId="1" xfId="0" applyFont="1" applyFill="1" applyBorder="1" applyAlignment="1">
      <alignment horizontal="center"/>
    </xf>
    <xf numFmtId="0" fontId="58" fillId="0" borderId="1" xfId="0" applyFont="1" applyBorder="1" applyAlignment="1">
      <alignment horizontal="center"/>
    </xf>
    <xf numFmtId="165" fontId="58" fillId="0" borderId="1" xfId="0" applyNumberFormat="1" applyFont="1" applyBorder="1" applyAlignment="1">
      <alignment horizontal="center" vertical="center"/>
    </xf>
    <xf numFmtId="0" fontId="58" fillId="4" borderId="1" xfId="0" applyFont="1" applyFill="1" applyBorder="1" applyAlignment="1">
      <alignment horizontal="center"/>
    </xf>
    <xf numFmtId="165" fontId="58" fillId="4" borderId="1" xfId="0" applyNumberFormat="1" applyFont="1" applyFill="1" applyBorder="1" applyAlignment="1">
      <alignment horizontal="center"/>
    </xf>
    <xf numFmtId="0" fontId="55" fillId="6" borderId="1" xfId="0" applyFont="1" applyFill="1" applyBorder="1"/>
    <xf numFmtId="0" fontId="21" fillId="7" borderId="35" xfId="0" applyFont="1" applyFill="1" applyBorder="1" applyAlignment="1">
      <alignment horizontal="center" vertical="center" wrapText="1"/>
    </xf>
    <xf numFmtId="2" fontId="9" fillId="16" borderId="1" xfId="0" applyNumberFormat="1" applyFont="1" applyFill="1" applyBorder="1" applyAlignment="1">
      <alignment horizontal="center" vertical="center" wrapText="1"/>
    </xf>
    <xf numFmtId="164" fontId="0" fillId="16" borderId="1" xfId="0" applyNumberFormat="1" applyFill="1" applyBorder="1" applyAlignment="1">
      <alignment horizontal="center" vertical="center"/>
    </xf>
    <xf numFmtId="164" fontId="9" fillId="3" borderId="1" xfId="0" applyNumberFormat="1" applyFont="1" applyFill="1" applyBorder="1" applyAlignment="1">
      <alignment horizontal="center" vertical="center" wrapText="1"/>
    </xf>
    <xf numFmtId="0" fontId="63" fillId="17" borderId="0" xfId="0" applyFont="1" applyFill="1" applyAlignment="1">
      <alignment horizontal="center" vertical="center" wrapText="1"/>
    </xf>
    <xf numFmtId="0" fontId="64" fillId="4" borderId="0" xfId="0" applyFont="1" applyFill="1"/>
    <xf numFmtId="0" fontId="63" fillId="17" borderId="35" xfId="0" applyFont="1" applyFill="1" applyBorder="1" applyAlignment="1">
      <alignment horizontal="center" vertical="center" wrapText="1"/>
    </xf>
    <xf numFmtId="0" fontId="65" fillId="4" borderId="0" xfId="0" applyFont="1" applyFill="1"/>
    <xf numFmtId="0" fontId="66" fillId="17" borderId="0" xfId="0" applyFont="1" applyFill="1" applyAlignment="1">
      <alignment horizontal="center" vertical="center" wrapText="1"/>
    </xf>
    <xf numFmtId="0" fontId="65" fillId="0" borderId="0" xfId="0" applyFont="1"/>
    <xf numFmtId="0" fontId="21" fillId="7" borderId="0" xfId="0" applyFont="1" applyFill="1" applyAlignment="1">
      <alignment horizontal="left" vertical="center" wrapText="1"/>
    </xf>
    <xf numFmtId="0" fontId="8" fillId="3" borderId="20" xfId="0" applyFont="1" applyFill="1" applyBorder="1" applyAlignment="1">
      <alignment horizontal="center" vertical="center" wrapText="1"/>
    </xf>
    <xf numFmtId="0" fontId="8" fillId="3" borderId="20" xfId="0" applyFont="1" applyFill="1" applyBorder="1" applyAlignment="1">
      <alignment horizontal="center" vertical="center"/>
    </xf>
    <xf numFmtId="0" fontId="8" fillId="3" borderId="5" xfId="0" applyFont="1" applyFill="1" applyBorder="1" applyAlignment="1">
      <alignment horizontal="center" vertical="center"/>
    </xf>
    <xf numFmtId="0" fontId="31" fillId="7" borderId="0" xfId="0" applyFont="1" applyFill="1" applyAlignment="1">
      <alignment horizontal="left" vertical="center"/>
    </xf>
    <xf numFmtId="0" fontId="67" fillId="17" borderId="35" xfId="0" applyFont="1" applyFill="1" applyBorder="1" applyAlignment="1">
      <alignment horizontal="center" vertical="center" wrapText="1"/>
    </xf>
    <xf numFmtId="0" fontId="31" fillId="7" borderId="0" xfId="0" applyFont="1" applyFill="1" applyAlignment="1">
      <alignment horizontal="left" vertical="center" wrapText="1"/>
    </xf>
    <xf numFmtId="0" fontId="8" fillId="25" borderId="0" xfId="0" applyFont="1" applyFill="1" applyAlignment="1">
      <alignment horizontal="center"/>
    </xf>
    <xf numFmtId="0" fontId="21" fillId="17" borderId="0" xfId="0" applyFont="1" applyFill="1" applyAlignment="1">
      <alignment horizontal="center" vertical="center" wrapText="1"/>
    </xf>
    <xf numFmtId="170" fontId="11" fillId="3" borderId="1" xfId="1" applyNumberFormat="1" applyFont="1" applyFill="1" applyBorder="1" applyAlignment="1" applyProtection="1">
      <alignment horizontal="center" vertical="center" wrapText="1"/>
    </xf>
    <xf numFmtId="171" fontId="11" fillId="3" borderId="1" xfId="1" applyNumberFormat="1" applyFont="1" applyFill="1" applyBorder="1" applyAlignment="1" applyProtection="1">
      <alignment horizontal="center" vertical="center" wrapText="1"/>
    </xf>
    <xf numFmtId="172" fontId="0" fillId="3" borderId="1" xfId="0" applyNumberFormat="1" applyFill="1" applyBorder="1" applyAlignment="1">
      <alignment horizontal="center" vertical="center" wrapText="1"/>
    </xf>
    <xf numFmtId="173" fontId="0" fillId="3" borderId="1" xfId="0" applyNumberFormat="1" applyFill="1" applyBorder="1" applyAlignment="1">
      <alignment horizontal="center" vertical="center" wrapText="1"/>
    </xf>
    <xf numFmtId="170" fontId="10" fillId="3" borderId="1" xfId="1" applyNumberFormat="1" applyFont="1" applyFill="1" applyBorder="1" applyAlignment="1" applyProtection="1">
      <alignment horizontal="center" vertical="center" wrapText="1"/>
    </xf>
    <xf numFmtId="171" fontId="10" fillId="3" borderId="1" xfId="1" applyNumberFormat="1" applyFont="1" applyFill="1" applyBorder="1" applyAlignment="1" applyProtection="1">
      <alignment horizontal="center" vertical="center" wrapText="1"/>
    </xf>
    <xf numFmtId="173" fontId="10" fillId="3" borderId="1" xfId="1" applyNumberFormat="1" applyFont="1" applyFill="1" applyBorder="1" applyAlignment="1" applyProtection="1">
      <alignment horizontal="center" vertical="center"/>
    </xf>
    <xf numFmtId="0" fontId="8" fillId="3" borderId="4" xfId="0" applyFont="1" applyFill="1" applyBorder="1" applyAlignment="1">
      <alignment vertical="top"/>
    </xf>
    <xf numFmtId="0" fontId="8" fillId="3" borderId="26" xfId="0" applyFont="1" applyFill="1" applyBorder="1" applyAlignment="1">
      <alignment vertical="top"/>
    </xf>
    <xf numFmtId="0" fontId="8" fillId="3" borderId="25" xfId="0" applyFont="1" applyFill="1" applyBorder="1" applyAlignment="1">
      <alignment vertical="top"/>
    </xf>
    <xf numFmtId="173" fontId="10" fillId="3" borderId="1" xfId="1" applyNumberFormat="1" applyFont="1" applyFill="1" applyBorder="1" applyAlignment="1" applyProtection="1">
      <alignment horizontal="center" vertical="center" wrapText="1"/>
    </xf>
    <xf numFmtId="173" fontId="0" fillId="3" borderId="5" xfId="0" applyNumberFormat="1" applyFill="1" applyBorder="1" applyAlignment="1">
      <alignment horizontal="center" vertical="center" wrapText="1"/>
    </xf>
    <xf numFmtId="173" fontId="10" fillId="3" borderId="5" xfId="1" applyNumberFormat="1" applyFont="1" applyFill="1" applyBorder="1" applyAlignment="1" applyProtection="1">
      <alignment horizontal="center" vertical="center" wrapText="1"/>
    </xf>
    <xf numFmtId="170" fontId="10" fillId="3" borderId="5" xfId="1" applyNumberFormat="1" applyFont="1" applyFill="1" applyBorder="1" applyAlignment="1" applyProtection="1">
      <alignment horizontal="center" vertical="center" wrapText="1"/>
    </xf>
    <xf numFmtId="0" fontId="68" fillId="17" borderId="1" xfId="0" applyFont="1" applyFill="1" applyBorder="1" applyAlignment="1">
      <alignment horizontal="center" vertical="center" wrapText="1"/>
    </xf>
    <xf numFmtId="0" fontId="55" fillId="6" borderId="0" xfId="9" applyFont="1" applyFill="1" applyAlignment="1">
      <alignment horizontal="center" wrapText="1"/>
    </xf>
    <xf numFmtId="3" fontId="4" fillId="0" borderId="0" xfId="9" applyNumberFormat="1" applyFont="1"/>
    <xf numFmtId="166" fontId="10" fillId="4" borderId="0" xfId="6" applyNumberFormat="1" applyFont="1" applyFill="1" applyBorder="1" applyAlignment="1">
      <alignment horizontal="center" vertical="center" wrapText="1"/>
    </xf>
    <xf numFmtId="166" fontId="4" fillId="0" borderId="1" xfId="1" applyNumberFormat="1" applyFont="1" applyFill="1" applyBorder="1" applyAlignment="1" applyProtection="1">
      <alignment horizontal="center" vertical="center"/>
      <protection locked="0"/>
    </xf>
    <xf numFmtId="0" fontId="5" fillId="23" borderId="0" xfId="0" applyFont="1" applyFill="1" applyAlignment="1">
      <alignment horizontal="center" vertical="center" wrapText="1"/>
    </xf>
    <xf numFmtId="0" fontId="68" fillId="17" borderId="0" xfId="0" applyFont="1" applyFill="1" applyAlignment="1">
      <alignment horizontal="center" vertical="center" wrapText="1"/>
    </xf>
    <xf numFmtId="3" fontId="0" fillId="25" borderId="0" xfId="0" applyNumberFormat="1" applyFill="1" applyAlignment="1">
      <alignment horizontal="center" vertical="center"/>
    </xf>
    <xf numFmtId="168" fontId="0" fillId="3" borderId="1" xfId="0" applyNumberFormat="1" applyFill="1" applyBorder="1" applyAlignment="1">
      <alignment horizontal="right" vertical="center" wrapText="1"/>
    </xf>
    <xf numFmtId="0" fontId="70" fillId="27" borderId="65" xfId="0" applyFont="1" applyFill="1" applyBorder="1" applyAlignment="1">
      <alignment horizontal="center" vertical="center" wrapText="1"/>
    </xf>
    <xf numFmtId="0" fontId="70" fillId="27" borderId="66" xfId="0" applyFont="1" applyFill="1" applyBorder="1" applyAlignment="1">
      <alignment horizontal="center" vertical="center" wrapText="1"/>
    </xf>
    <xf numFmtId="0" fontId="70" fillId="27" borderId="67" xfId="0" applyFont="1" applyFill="1" applyBorder="1" applyAlignment="1">
      <alignment horizontal="center" vertical="center" wrapText="1"/>
    </xf>
    <xf numFmtId="0" fontId="71" fillId="0" borderId="68" xfId="0" applyFont="1" applyBorder="1" applyAlignment="1">
      <alignment horizontal="justify" vertical="center" wrapText="1"/>
    </xf>
    <xf numFmtId="0" fontId="71" fillId="0" borderId="70" xfId="0" applyFont="1" applyBorder="1" applyAlignment="1">
      <alignment horizontal="justify" vertical="center" wrapText="1"/>
    </xf>
    <xf numFmtId="0" fontId="73" fillId="0" borderId="73" xfId="0" applyFont="1" applyBorder="1" applyAlignment="1">
      <alignment horizontal="center" vertical="center" wrapText="1"/>
    </xf>
    <xf numFmtId="0" fontId="73" fillId="0" borderId="75" xfId="0" applyFont="1" applyBorder="1" applyAlignment="1">
      <alignment horizontal="center" vertical="center" wrapText="1"/>
    </xf>
    <xf numFmtId="0" fontId="73" fillId="0" borderId="64" xfId="0" applyFont="1" applyBorder="1" applyAlignment="1">
      <alignment horizontal="center" vertical="center" wrapText="1"/>
    </xf>
    <xf numFmtId="0" fontId="73" fillId="0" borderId="74" xfId="0" applyFont="1" applyBorder="1" applyAlignment="1">
      <alignment horizontal="center" vertical="center" wrapText="1"/>
    </xf>
    <xf numFmtId="0" fontId="74" fillId="0" borderId="64" xfId="0" applyFont="1" applyBorder="1" applyAlignment="1">
      <alignment horizontal="center" vertical="center" wrapText="1"/>
    </xf>
    <xf numFmtId="0" fontId="72" fillId="28" borderId="65" xfId="0" applyFont="1" applyFill="1" applyBorder="1" applyAlignment="1">
      <alignment horizontal="left" vertical="center" wrapText="1"/>
    </xf>
    <xf numFmtId="0" fontId="72" fillId="28" borderId="66" xfId="0" applyFont="1" applyFill="1" applyBorder="1" applyAlignment="1">
      <alignment horizontal="center" vertical="center" wrapText="1"/>
    </xf>
    <xf numFmtId="0" fontId="72" fillId="28" borderId="67" xfId="0" applyFont="1" applyFill="1" applyBorder="1" applyAlignment="1">
      <alignment horizontal="center" vertical="center" wrapText="1"/>
    </xf>
    <xf numFmtId="0" fontId="73" fillId="0" borderId="69" xfId="0" applyFont="1" applyBorder="1" applyAlignment="1">
      <alignment horizontal="center" vertical="center" wrapText="1"/>
    </xf>
    <xf numFmtId="0" fontId="74" fillId="0" borderId="68" xfId="0" applyFont="1" applyBorder="1" applyAlignment="1">
      <alignment horizontal="left" vertical="center" wrapText="1"/>
    </xf>
    <xf numFmtId="0" fontId="74" fillId="0" borderId="70" xfId="0" applyFont="1" applyBorder="1" applyAlignment="1">
      <alignment horizontal="left" vertical="center" wrapText="1"/>
    </xf>
    <xf numFmtId="0" fontId="74" fillId="0" borderId="71" xfId="0" applyFont="1" applyBorder="1" applyAlignment="1">
      <alignment horizontal="center" vertical="center" wrapText="1"/>
    </xf>
    <xf numFmtId="0" fontId="73" fillId="0" borderId="71" xfId="0" applyFont="1" applyBorder="1" applyAlignment="1">
      <alignment horizontal="center" vertical="center" wrapText="1"/>
    </xf>
    <xf numFmtId="0" fontId="73" fillId="0" borderId="72" xfId="0" applyFont="1" applyBorder="1" applyAlignment="1">
      <alignment horizontal="center" vertical="center" wrapText="1"/>
    </xf>
    <xf numFmtId="0" fontId="81" fillId="29" borderId="82" xfId="0" applyFont="1" applyFill="1" applyBorder="1" applyAlignment="1">
      <alignment horizontal="center" vertical="center" wrapText="1"/>
    </xf>
    <xf numFmtId="0" fontId="70" fillId="29" borderId="83" xfId="0" applyFont="1" applyFill="1" applyBorder="1" applyAlignment="1">
      <alignment horizontal="center" vertical="center" textRotation="90" wrapText="1"/>
    </xf>
    <xf numFmtId="0" fontId="46" fillId="0" borderId="84" xfId="0" applyFont="1" applyBorder="1" applyAlignment="1">
      <alignment horizontal="left" vertical="center" wrapText="1"/>
    </xf>
    <xf numFmtId="0" fontId="46" fillId="0" borderId="14" xfId="0" applyFont="1" applyBorder="1" applyAlignment="1">
      <alignment horizontal="center" vertical="center" wrapText="1"/>
    </xf>
    <xf numFmtId="10" fontId="71" fillId="0" borderId="64" xfId="0" applyNumberFormat="1" applyFont="1" applyBorder="1" applyAlignment="1">
      <alignment horizontal="center" vertical="center" wrapText="1"/>
    </xf>
    <xf numFmtId="10" fontId="71" fillId="0" borderId="71" xfId="0" applyNumberFormat="1" applyFont="1" applyBorder="1" applyAlignment="1">
      <alignment horizontal="center" vertical="center" wrapText="1"/>
    </xf>
    <xf numFmtId="10" fontId="71" fillId="0" borderId="69" xfId="0" applyNumberFormat="1" applyFont="1" applyBorder="1" applyAlignment="1">
      <alignment horizontal="center" vertical="center" wrapText="1"/>
    </xf>
    <xf numFmtId="10" fontId="71" fillId="0" borderId="72" xfId="0" applyNumberFormat="1" applyFont="1" applyBorder="1" applyAlignment="1">
      <alignment horizontal="center" vertical="center" wrapText="1"/>
    </xf>
    <xf numFmtId="0" fontId="31" fillId="7" borderId="43" xfId="0" applyFont="1" applyFill="1" applyBorder="1" applyAlignment="1">
      <alignment vertical="center"/>
    </xf>
    <xf numFmtId="0" fontId="31" fillId="7" borderId="0" xfId="0" applyFont="1" applyFill="1" applyAlignment="1">
      <alignment vertical="center"/>
    </xf>
    <xf numFmtId="168" fontId="0" fillId="3" borderId="5" xfId="0" applyNumberFormat="1" applyFill="1" applyBorder="1" applyAlignment="1">
      <alignment horizontal="center" vertical="center" wrapText="1"/>
    </xf>
    <xf numFmtId="0" fontId="81" fillId="29" borderId="1" xfId="0" applyFont="1" applyFill="1" applyBorder="1" applyAlignment="1">
      <alignment horizontal="center" vertical="center" wrapText="1"/>
    </xf>
    <xf numFmtId="9" fontId="46" fillId="0" borderId="1" xfId="0" applyNumberFormat="1" applyFont="1" applyBorder="1" applyAlignment="1">
      <alignment horizontal="center" vertical="center" wrapText="1"/>
    </xf>
    <xf numFmtId="0" fontId="82" fillId="0" borderId="85" xfId="0" applyFont="1" applyBorder="1" applyAlignment="1">
      <alignment horizontal="left" vertical="top" wrapText="1" readingOrder="1"/>
    </xf>
    <xf numFmtId="0" fontId="0" fillId="4" borderId="4" xfId="0" applyFill="1" applyBorder="1" applyAlignment="1">
      <alignment horizontal="left" vertical="center" wrapText="1" indent="1"/>
    </xf>
    <xf numFmtId="164" fontId="0" fillId="30" borderId="1" xfId="0" applyNumberFormat="1" applyFill="1" applyBorder="1" applyAlignment="1">
      <alignment horizontal="center" vertical="center"/>
    </xf>
    <xf numFmtId="164" fontId="0" fillId="31" borderId="1" xfId="0" applyNumberFormat="1" applyFill="1" applyBorder="1" applyAlignment="1">
      <alignment horizontal="center" vertical="center"/>
    </xf>
    <xf numFmtId="164" fontId="10" fillId="31" borderId="1" xfId="0" applyNumberFormat="1" applyFont="1" applyFill="1" applyBorder="1" applyAlignment="1">
      <alignment horizontal="center" vertical="center"/>
    </xf>
    <xf numFmtId="0" fontId="0" fillId="31" borderId="1" xfId="0" applyFill="1" applyBorder="1" applyAlignment="1">
      <alignment horizontal="center" vertical="center"/>
    </xf>
    <xf numFmtId="0" fontId="0" fillId="18" borderId="0" xfId="0" applyFill="1"/>
    <xf numFmtId="0" fontId="17" fillId="3" borderId="15" xfId="0" applyFont="1" applyFill="1" applyBorder="1" applyAlignment="1">
      <alignment horizontal="left" vertical="center"/>
    </xf>
    <xf numFmtId="0" fontId="17" fillId="3" borderId="16" xfId="0" applyFont="1" applyFill="1" applyBorder="1" applyAlignment="1">
      <alignment horizontal="left" vertical="center"/>
    </xf>
    <xf numFmtId="0" fontId="8" fillId="3" borderId="16" xfId="0" applyFont="1" applyFill="1" applyBorder="1" applyAlignment="1">
      <alignment horizontal="center" vertical="center"/>
    </xf>
    <xf numFmtId="0" fontId="0" fillId="4" borderId="16" xfId="0" applyFill="1" applyBorder="1"/>
    <xf numFmtId="0" fontId="0" fillId="4" borderId="9" xfId="0" applyFill="1" applyBorder="1"/>
    <xf numFmtId="0" fontId="0" fillId="4" borderId="18" xfId="0" applyFill="1" applyBorder="1"/>
    <xf numFmtId="164" fontId="0" fillId="4" borderId="23" xfId="0" applyNumberFormat="1" applyFill="1" applyBorder="1" applyAlignment="1">
      <alignment horizontal="center" vertical="center"/>
    </xf>
    <xf numFmtId="0" fontId="0" fillId="0" borderId="23" xfId="0" applyBorder="1" applyAlignment="1">
      <alignment horizontal="center" vertical="center"/>
    </xf>
    <xf numFmtId="166" fontId="0" fillId="0" borderId="23" xfId="0" applyNumberFormat="1" applyBorder="1" applyAlignment="1">
      <alignment horizontal="center" vertical="center"/>
    </xf>
    <xf numFmtId="0" fontId="0" fillId="4" borderId="23" xfId="0" applyFill="1" applyBorder="1" applyAlignment="1">
      <alignment horizontal="left" vertical="top"/>
    </xf>
    <xf numFmtId="0" fontId="0" fillId="4" borderId="23" xfId="0" applyFill="1" applyBorder="1"/>
    <xf numFmtId="0" fontId="81" fillId="29" borderId="64" xfId="0" applyFont="1" applyFill="1" applyBorder="1" applyAlignment="1">
      <alignment horizontal="center" vertical="center" wrapText="1"/>
    </xf>
    <xf numFmtId="0" fontId="83" fillId="29" borderId="88" xfId="0" applyFont="1" applyFill="1" applyBorder="1" applyAlignment="1">
      <alignment horizontal="center" vertical="center" wrapText="1"/>
    </xf>
    <xf numFmtId="0" fontId="46" fillId="0" borderId="75" xfId="0" applyFont="1" applyBorder="1" applyAlignment="1">
      <alignment horizontal="justify" vertical="center" wrapText="1"/>
    </xf>
    <xf numFmtId="0" fontId="46" fillId="0" borderId="89" xfId="0" applyFont="1" applyBorder="1" applyAlignment="1">
      <alignment horizontal="center" vertical="center" wrapText="1"/>
    </xf>
    <xf numFmtId="0" fontId="0" fillId="18" borderId="1" xfId="0" applyFill="1" applyBorder="1" applyAlignment="1">
      <alignment horizontal="center" vertical="center"/>
    </xf>
    <xf numFmtId="0" fontId="0" fillId="18" borderId="0" xfId="0" applyFill="1" applyAlignment="1">
      <alignment horizontal="center" vertical="center"/>
    </xf>
    <xf numFmtId="2" fontId="9" fillId="0" borderId="1" xfId="0" applyNumberFormat="1" applyFont="1" applyBorder="1" applyAlignment="1">
      <alignment horizontal="center" vertical="center" wrapText="1"/>
    </xf>
    <xf numFmtId="2" fontId="0" fillId="4" borderId="1" xfId="0" applyNumberFormat="1" applyFill="1" applyBorder="1"/>
    <xf numFmtId="0" fontId="0" fillId="31" borderId="1" xfId="0" applyFill="1" applyBorder="1" applyAlignment="1">
      <alignment vertical="center"/>
    </xf>
    <xf numFmtId="164" fontId="0" fillId="31" borderId="1" xfId="0" applyNumberFormat="1" applyFill="1" applyBorder="1" applyAlignment="1">
      <alignment horizontal="center"/>
    </xf>
    <xf numFmtId="164" fontId="0" fillId="24" borderId="1" xfId="0" applyNumberFormat="1" applyFill="1" applyBorder="1" applyAlignment="1">
      <alignment horizontal="center" vertical="center"/>
    </xf>
    <xf numFmtId="2" fontId="0" fillId="24" borderId="1" xfId="0" applyNumberFormat="1" applyFill="1" applyBorder="1" applyAlignment="1">
      <alignment horizontal="center" vertical="center"/>
    </xf>
    <xf numFmtId="166" fontId="10" fillId="3" borderId="4" xfId="0" applyNumberFormat="1" applyFont="1" applyFill="1" applyBorder="1" applyAlignment="1">
      <alignment horizontal="center" vertical="center"/>
    </xf>
    <xf numFmtId="0" fontId="22" fillId="9" borderId="1" xfId="0" applyFont="1" applyFill="1" applyBorder="1"/>
    <xf numFmtId="0" fontId="63" fillId="17" borderId="1" xfId="0" applyFont="1" applyFill="1" applyBorder="1" applyAlignment="1">
      <alignment horizontal="center" vertical="center" wrapText="1"/>
    </xf>
    <xf numFmtId="0" fontId="22" fillId="9" borderId="15" xfId="0" applyFont="1" applyFill="1" applyBorder="1"/>
    <xf numFmtId="0" fontId="22" fillId="9" borderId="16" xfId="0" applyFont="1" applyFill="1" applyBorder="1"/>
    <xf numFmtId="0" fontId="22" fillId="9" borderId="9" xfId="0" applyFont="1" applyFill="1" applyBorder="1"/>
    <xf numFmtId="0" fontId="22" fillId="9" borderId="17" xfId="0" applyFont="1" applyFill="1" applyBorder="1"/>
    <xf numFmtId="0" fontId="22" fillId="9" borderId="18" xfId="0" applyFont="1" applyFill="1" applyBorder="1"/>
    <xf numFmtId="0" fontId="63" fillId="17" borderId="17" xfId="0" applyFont="1" applyFill="1" applyBorder="1" applyAlignment="1">
      <alignment horizontal="center" vertical="center" wrapText="1"/>
    </xf>
    <xf numFmtId="0" fontId="63" fillId="17" borderId="18" xfId="0" applyFont="1" applyFill="1" applyBorder="1" applyAlignment="1">
      <alignment horizontal="center" vertical="center" wrapText="1"/>
    </xf>
    <xf numFmtId="2" fontId="0" fillId="4" borderId="17" xfId="0" applyNumberFormat="1" applyFill="1" applyBorder="1"/>
    <xf numFmtId="0" fontId="21" fillId="7" borderId="48" xfId="0" applyFont="1" applyFill="1" applyBorder="1" applyAlignment="1">
      <alignment horizontal="center" vertical="center" wrapText="1"/>
    </xf>
    <xf numFmtId="0" fontId="21" fillId="9" borderId="43" xfId="0" applyFont="1" applyFill="1" applyBorder="1" applyAlignment="1">
      <alignment vertical="center" wrapText="1"/>
    </xf>
    <xf numFmtId="172" fontId="0" fillId="25" borderId="1" xfId="0" applyNumberFormat="1" applyFill="1" applyBorder="1" applyAlignment="1" applyProtection="1">
      <alignment horizontal="center" vertical="center" wrapText="1"/>
      <protection locked="0"/>
    </xf>
    <xf numFmtId="0" fontId="63" fillId="17" borderId="26" xfId="0" applyFont="1" applyFill="1" applyBorder="1" applyAlignment="1">
      <alignment horizontal="center" vertical="center" wrapText="1"/>
    </xf>
    <xf numFmtId="0" fontId="87" fillId="17" borderId="0" xfId="0" applyFont="1" applyFill="1" applyAlignment="1">
      <alignment horizontal="center" vertical="center" wrapText="1"/>
    </xf>
    <xf numFmtId="2" fontId="11" fillId="3" borderId="1" xfId="0" applyNumberFormat="1" applyFont="1" applyFill="1" applyBorder="1" applyAlignment="1">
      <alignment horizontal="center" vertical="center"/>
    </xf>
    <xf numFmtId="0" fontId="0" fillId="0" borderId="90" xfId="0" applyBorder="1"/>
    <xf numFmtId="0" fontId="8" fillId="0" borderId="90" xfId="0" applyFont="1" applyBorder="1"/>
    <xf numFmtId="0" fontId="88" fillId="16" borderId="90" xfId="0" applyFont="1" applyFill="1" applyBorder="1"/>
    <xf numFmtId="164" fontId="88" fillId="30" borderId="1" xfId="0" applyNumberFormat="1" applyFont="1" applyFill="1" applyBorder="1" applyAlignment="1">
      <alignment horizontal="center" vertical="center"/>
    </xf>
    <xf numFmtId="164" fontId="88" fillId="32" borderId="1" xfId="0" applyNumberFormat="1" applyFont="1" applyFill="1" applyBorder="1" applyAlignment="1">
      <alignment horizontal="center" vertical="center"/>
    </xf>
    <xf numFmtId="0" fontId="52" fillId="20" borderId="1" xfId="8" applyBorder="1" applyAlignment="1">
      <alignment horizontal="left" vertical="center" wrapText="1"/>
    </xf>
    <xf numFmtId="0" fontId="52" fillId="20" borderId="1" xfId="8" applyBorder="1" applyAlignment="1">
      <alignment horizontal="center" vertical="center" wrapText="1"/>
    </xf>
    <xf numFmtId="164" fontId="52" fillId="20" borderId="1" xfId="8" applyNumberFormat="1" applyBorder="1" applyAlignment="1">
      <alignment horizontal="center"/>
    </xf>
    <xf numFmtId="0" fontId="0" fillId="16" borderId="1" xfId="0" applyFill="1" applyBorder="1" applyAlignment="1">
      <alignment vertical="center"/>
    </xf>
    <xf numFmtId="0" fontId="0" fillId="16" borderId="1" xfId="0" applyFill="1" applyBorder="1" applyAlignment="1">
      <alignment horizontal="center" vertical="center"/>
    </xf>
    <xf numFmtId="0" fontId="8" fillId="3" borderId="61" xfId="0" applyFont="1" applyFill="1" applyBorder="1" applyAlignment="1">
      <alignment horizontal="center" vertical="center"/>
    </xf>
    <xf numFmtId="166" fontId="0" fillId="33" borderId="1" xfId="0" applyNumberFormat="1" applyFill="1" applyBorder="1" applyAlignment="1">
      <alignment horizontal="center"/>
    </xf>
    <xf numFmtId="0" fontId="0" fillId="33" borderId="1" xfId="0" applyFill="1" applyBorder="1" applyAlignment="1">
      <alignment horizontal="center"/>
    </xf>
    <xf numFmtId="0" fontId="0" fillId="33" borderId="1" xfId="0" applyFill="1" applyBorder="1"/>
    <xf numFmtId="0" fontId="0" fillId="34" borderId="1" xfId="0" applyFill="1" applyBorder="1" applyAlignment="1">
      <alignment vertical="center"/>
    </xf>
    <xf numFmtId="164" fontId="0" fillId="34" borderId="1" xfId="0" applyNumberFormat="1" applyFill="1" applyBorder="1" applyAlignment="1">
      <alignment horizontal="center" vertical="center"/>
    </xf>
    <xf numFmtId="164" fontId="10" fillId="34" borderId="1" xfId="0" applyNumberFormat="1" applyFont="1" applyFill="1" applyBorder="1" applyAlignment="1">
      <alignment horizontal="center" vertical="center"/>
    </xf>
    <xf numFmtId="0" fontId="0" fillId="34" borderId="1" xfId="0" applyFill="1" applyBorder="1" applyAlignment="1">
      <alignment horizontal="center" vertical="center"/>
    </xf>
    <xf numFmtId="166" fontId="0" fillId="34" borderId="1" xfId="0" applyNumberFormat="1" applyFill="1" applyBorder="1" applyAlignment="1">
      <alignment horizontal="center"/>
    </xf>
    <xf numFmtId="0" fontId="0" fillId="34" borderId="1" xfId="0" applyFill="1" applyBorder="1" applyAlignment="1">
      <alignment horizontal="center"/>
    </xf>
    <xf numFmtId="0" fontId="0" fillId="34" borderId="1" xfId="0" applyFill="1" applyBorder="1"/>
    <xf numFmtId="0" fontId="0" fillId="34" borderId="0" xfId="0" applyFill="1"/>
    <xf numFmtId="0" fontId="0" fillId="34" borderId="0" xfId="0" applyFill="1" applyAlignment="1">
      <alignment horizontal="center" vertical="center"/>
    </xf>
    <xf numFmtId="164" fontId="0" fillId="34" borderId="0" xfId="0" applyNumberFormat="1" applyFill="1" applyAlignment="1">
      <alignment horizontal="center" vertical="center"/>
    </xf>
    <xf numFmtId="0" fontId="0" fillId="34" borderId="0" xfId="0" applyFill="1" applyAlignment="1">
      <alignment horizontal="center"/>
    </xf>
    <xf numFmtId="164" fontId="10" fillId="16" borderId="1" xfId="0" applyNumberFormat="1" applyFont="1" applyFill="1" applyBorder="1" applyAlignment="1">
      <alignment horizontal="center" vertical="center"/>
    </xf>
    <xf numFmtId="0" fontId="17" fillId="3" borderId="38" xfId="0" applyFont="1" applyFill="1" applyBorder="1" applyAlignment="1">
      <alignment horizontal="left" vertical="center"/>
    </xf>
    <xf numFmtId="0" fontId="17" fillId="3" borderId="5" xfId="0" applyFont="1" applyFill="1" applyBorder="1" applyAlignment="1">
      <alignment horizontal="left" vertical="center"/>
    </xf>
    <xf numFmtId="0" fontId="17" fillId="3" borderId="5" xfId="0" applyFont="1" applyFill="1" applyBorder="1" applyAlignment="1">
      <alignment horizontal="center" vertical="center" wrapText="1"/>
    </xf>
    <xf numFmtId="0" fontId="0" fillId="4" borderId="5" xfId="0" applyFill="1" applyBorder="1"/>
    <xf numFmtId="0" fontId="0" fillId="4" borderId="39" xfId="0" applyFill="1" applyBorder="1"/>
    <xf numFmtId="0" fontId="89" fillId="3" borderId="61" xfId="0" applyFont="1" applyFill="1" applyBorder="1" applyAlignment="1">
      <alignment horizontal="center" vertical="center"/>
    </xf>
    <xf numFmtId="0" fontId="90" fillId="0" borderId="0" xfId="0" applyFont="1"/>
    <xf numFmtId="0" fontId="90" fillId="4" borderId="0" xfId="0" applyFont="1" applyFill="1"/>
    <xf numFmtId="0" fontId="90" fillId="34" borderId="0" xfId="0" applyFont="1" applyFill="1"/>
    <xf numFmtId="0" fontId="0" fillId="35" borderId="1" xfId="0" applyFill="1" applyBorder="1" applyAlignment="1">
      <alignment horizontal="center" vertical="center"/>
    </xf>
    <xf numFmtId="165" fontId="0" fillId="35" borderId="1" xfId="0" applyNumberFormat="1" applyFill="1" applyBorder="1" applyAlignment="1">
      <alignment horizontal="center" vertical="center"/>
    </xf>
    <xf numFmtId="168" fontId="0" fillId="35" borderId="1" xfId="0" applyNumberFormat="1" applyFill="1" applyBorder="1" applyAlignment="1">
      <alignment horizontal="center" vertical="center"/>
    </xf>
    <xf numFmtId="2" fontId="9" fillId="3" borderId="1" xfId="0" applyNumberFormat="1" applyFont="1" applyFill="1" applyBorder="1" applyAlignment="1">
      <alignment horizontal="right" vertical="center" wrapText="1"/>
    </xf>
    <xf numFmtId="2" fontId="0" fillId="16" borderId="1" xfId="0" applyNumberFormat="1" applyFill="1" applyBorder="1" applyAlignment="1">
      <alignment horizontal="center" vertical="center"/>
    </xf>
    <xf numFmtId="164" fontId="0" fillId="0" borderId="1" xfId="0" applyNumberFormat="1" applyBorder="1" applyAlignment="1" applyProtection="1">
      <alignment horizontal="left" vertical="center" wrapText="1"/>
      <protection locked="0"/>
    </xf>
    <xf numFmtId="174" fontId="0" fillId="24" borderId="1" xfId="0" applyNumberFormat="1" applyFill="1" applyBorder="1" applyAlignment="1">
      <alignment horizontal="center" vertical="center"/>
    </xf>
    <xf numFmtId="0" fontId="0" fillId="5" borderId="0" xfId="0" applyFill="1"/>
    <xf numFmtId="0" fontId="0" fillId="5" borderId="0" xfId="0" applyFill="1" applyAlignment="1">
      <alignment horizontal="center"/>
    </xf>
    <xf numFmtId="44" fontId="0" fillId="3" borderId="1" xfId="6" applyFont="1" applyFill="1" applyBorder="1" applyAlignment="1">
      <alignment horizontal="right" vertical="center" wrapText="1"/>
    </xf>
    <xf numFmtId="0" fontId="42" fillId="8" borderId="17" xfId="0" applyFont="1" applyFill="1" applyBorder="1" applyAlignment="1">
      <alignment horizontal="center" vertical="center" wrapText="1"/>
    </xf>
    <xf numFmtId="0" fontId="42" fillId="8" borderId="1" xfId="0" applyFont="1" applyFill="1" applyBorder="1" applyAlignment="1">
      <alignment horizontal="center" vertical="center" wrapText="1"/>
    </xf>
    <xf numFmtId="0" fontId="9" fillId="4" borderId="1" xfId="0" applyFont="1" applyFill="1" applyBorder="1" applyAlignment="1">
      <alignment horizontal="left" vertical="top" wrapText="1"/>
    </xf>
    <xf numFmtId="0" fontId="9" fillId="4" borderId="18" xfId="0" applyFont="1" applyFill="1" applyBorder="1" applyAlignment="1">
      <alignment horizontal="left" vertical="top" wrapText="1"/>
    </xf>
    <xf numFmtId="0" fontId="9" fillId="4" borderId="4" xfId="0" applyFont="1" applyFill="1" applyBorder="1" applyAlignment="1">
      <alignment horizontal="left" vertical="center" wrapText="1"/>
    </xf>
    <xf numFmtId="0" fontId="9" fillId="4" borderId="26" xfId="0" applyFont="1" applyFill="1" applyBorder="1" applyAlignment="1">
      <alignment horizontal="left" vertical="center" wrapText="1"/>
    </xf>
    <xf numFmtId="0" fontId="9" fillId="4" borderId="27" xfId="0" applyFont="1" applyFill="1" applyBorder="1" applyAlignment="1">
      <alignment horizontal="left" vertical="center" wrapText="1"/>
    </xf>
    <xf numFmtId="0" fontId="42" fillId="8" borderId="11" xfId="0" applyFont="1" applyFill="1" applyBorder="1" applyAlignment="1">
      <alignment horizontal="center" vertical="center" wrapText="1"/>
    </xf>
    <xf numFmtId="0" fontId="42" fillId="8" borderId="26" xfId="0" applyFont="1" applyFill="1" applyBorder="1" applyAlignment="1">
      <alignment horizontal="center" vertical="center" wrapText="1"/>
    </xf>
    <xf numFmtId="0" fontId="42" fillId="8" borderId="25" xfId="0" applyFont="1" applyFill="1" applyBorder="1" applyAlignment="1">
      <alignment horizontal="center" vertical="center" wrapText="1"/>
    </xf>
    <xf numFmtId="0" fontId="0" fillId="8" borderId="0" xfId="0" applyFill="1" applyAlignment="1">
      <alignment horizontal="center" vertical="center"/>
    </xf>
    <xf numFmtId="0" fontId="0" fillId="8" borderId="0" xfId="0" applyFill="1" applyAlignment="1">
      <alignment horizontal="left" vertical="center"/>
    </xf>
    <xf numFmtId="0" fontId="11" fillId="0" borderId="11" xfId="0" applyFont="1" applyBorder="1" applyAlignment="1">
      <alignment horizontal="left" vertical="top" wrapText="1"/>
    </xf>
    <xf numFmtId="0" fontId="40" fillId="0" borderId="26" xfId="0" applyFont="1" applyBorder="1" applyAlignment="1">
      <alignment horizontal="left" vertical="top" wrapText="1"/>
    </xf>
    <xf numFmtId="0" fontId="40" fillId="0" borderId="27" xfId="0" applyFont="1" applyBorder="1" applyAlignment="1">
      <alignment horizontal="left" vertical="top" wrapText="1"/>
    </xf>
    <xf numFmtId="0" fontId="41" fillId="15" borderId="22" xfId="0" applyFont="1" applyFill="1" applyBorder="1" applyAlignment="1">
      <alignment horizontal="left" vertical="center" wrapText="1"/>
    </xf>
    <xf numFmtId="0" fontId="39" fillId="15" borderId="23" xfId="0" applyFont="1" applyFill="1" applyBorder="1" applyAlignment="1">
      <alignment horizontal="left" vertical="center" wrapText="1"/>
    </xf>
    <xf numFmtId="0" fontId="39" fillId="15" borderId="24" xfId="0" applyFont="1" applyFill="1" applyBorder="1" applyAlignment="1">
      <alignment horizontal="left" vertical="center" wrapText="1"/>
    </xf>
    <xf numFmtId="0" fontId="11" fillId="8" borderId="17" xfId="0" applyFont="1" applyFill="1" applyBorder="1" applyAlignment="1">
      <alignment horizontal="left" vertical="top" wrapText="1"/>
    </xf>
    <xf numFmtId="0" fontId="11" fillId="8" borderId="1" xfId="0" applyFont="1" applyFill="1" applyBorder="1" applyAlignment="1">
      <alignment horizontal="left" vertical="top" wrapText="1"/>
    </xf>
    <xf numFmtId="0" fontId="11" fillId="8" borderId="18" xfId="0" applyFont="1" applyFill="1" applyBorder="1" applyAlignment="1">
      <alignment horizontal="left" vertical="top" wrapText="1"/>
    </xf>
    <xf numFmtId="0" fontId="14" fillId="8" borderId="2" xfId="0" applyFont="1" applyFill="1" applyBorder="1" applyAlignment="1">
      <alignment horizontal="center" vertical="center"/>
    </xf>
    <xf numFmtId="0" fontId="14" fillId="8" borderId="0" xfId="0" applyFont="1" applyFill="1" applyAlignment="1">
      <alignment horizontal="center" vertical="center"/>
    </xf>
    <xf numFmtId="0" fontId="14" fillId="8" borderId="12" xfId="0" applyFont="1" applyFill="1" applyBorder="1" applyAlignment="1">
      <alignment horizontal="center" vertical="center"/>
    </xf>
    <xf numFmtId="0" fontId="37" fillId="7" borderId="29" xfId="0" applyFont="1" applyFill="1" applyBorder="1" applyAlignment="1">
      <alignment horizontal="right" vertical="center" wrapText="1"/>
    </xf>
    <xf numFmtId="0" fontId="31" fillId="7" borderId="17" xfId="0" applyFont="1" applyFill="1" applyBorder="1" applyAlignment="1">
      <alignment horizontal="center" vertical="center"/>
    </xf>
    <xf numFmtId="0" fontId="31" fillId="7" borderId="1" xfId="0" applyFont="1" applyFill="1" applyBorder="1" applyAlignment="1">
      <alignment horizontal="center" vertical="center"/>
    </xf>
    <xf numFmtId="0" fontId="31" fillId="7" borderId="18" xfId="0" applyFont="1" applyFill="1" applyBorder="1" applyAlignment="1">
      <alignment horizontal="center" vertical="center"/>
    </xf>
    <xf numFmtId="0" fontId="11" fillId="4" borderId="1" xfId="0" applyFont="1" applyFill="1" applyBorder="1" applyAlignment="1">
      <alignment horizontal="left" vertical="center" wrapText="1"/>
    </xf>
    <xf numFmtId="0" fontId="11" fillId="4" borderId="18" xfId="0" applyFont="1" applyFill="1" applyBorder="1" applyAlignment="1">
      <alignment horizontal="left" vertical="center" wrapText="1"/>
    </xf>
    <xf numFmtId="0" fontId="29" fillId="12" borderId="17" xfId="0" applyFont="1" applyFill="1" applyBorder="1" applyAlignment="1">
      <alignment horizontal="center" vertical="center" wrapText="1"/>
    </xf>
    <xf numFmtId="0" fontId="29" fillId="12" borderId="1"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29" fillId="14" borderId="17" xfId="0" applyFont="1" applyFill="1" applyBorder="1" applyAlignment="1">
      <alignment horizontal="center" vertical="center" wrapText="1"/>
    </xf>
    <xf numFmtId="0" fontId="29" fillId="14" borderId="1"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27" fillId="7" borderId="6" xfId="0" applyFont="1" applyFill="1" applyBorder="1" applyAlignment="1">
      <alignment horizontal="center" vertical="center"/>
    </xf>
    <xf numFmtId="0" fontId="27" fillId="7" borderId="7" xfId="0" applyFont="1" applyFill="1" applyBorder="1" applyAlignment="1">
      <alignment horizontal="center" vertical="center"/>
    </xf>
    <xf numFmtId="0" fontId="27" fillId="7" borderId="8" xfId="0" applyFont="1" applyFill="1" applyBorder="1" applyAlignment="1">
      <alignment horizontal="center" vertical="center"/>
    </xf>
    <xf numFmtId="0" fontId="12" fillId="3" borderId="2" xfId="2" applyFont="1" applyFill="1" applyBorder="1" applyAlignment="1" applyProtection="1">
      <alignment horizontal="center" vertical="center"/>
      <protection locked="0"/>
    </xf>
    <xf numFmtId="0" fontId="12" fillId="3" borderId="57" xfId="2" applyFont="1" applyFill="1" applyBorder="1" applyAlignment="1" applyProtection="1">
      <alignment horizontal="center" vertical="center"/>
      <protection locked="0"/>
    </xf>
    <xf numFmtId="0" fontId="12" fillId="3" borderId="58" xfId="2" applyFont="1" applyFill="1" applyBorder="1" applyAlignment="1" applyProtection="1">
      <alignment horizontal="center" vertical="center"/>
      <protection locked="0"/>
    </xf>
    <xf numFmtId="0" fontId="17" fillId="0" borderId="52" xfId="0" applyFont="1" applyBorder="1" applyAlignment="1" applyProtection="1">
      <alignment horizontal="left" vertical="center"/>
      <protection locked="0"/>
    </xf>
    <xf numFmtId="0" fontId="17" fillId="0" borderId="53" xfId="0" applyFont="1" applyBorder="1" applyAlignment="1" applyProtection="1">
      <alignment horizontal="left" vertical="center"/>
      <protection locked="0"/>
    </xf>
    <xf numFmtId="0" fontId="17" fillId="0" borderId="54" xfId="0" applyFont="1" applyBorder="1" applyAlignment="1" applyProtection="1">
      <alignment horizontal="left" vertical="center"/>
      <protection locked="0"/>
    </xf>
    <xf numFmtId="0" fontId="10" fillId="4" borderId="3" xfId="0" applyFont="1" applyFill="1" applyBorder="1" applyAlignment="1">
      <alignment horizontal="center" vertical="center"/>
    </xf>
    <xf numFmtId="0" fontId="10" fillId="4" borderId="13" xfId="0" applyFont="1" applyFill="1" applyBorder="1" applyAlignment="1">
      <alignment horizontal="center" vertical="center"/>
    </xf>
    <xf numFmtId="0" fontId="10" fillId="4" borderId="14" xfId="0" applyFont="1" applyFill="1" applyBorder="1" applyAlignment="1">
      <alignment horizontal="center" vertical="center"/>
    </xf>
    <xf numFmtId="0" fontId="12" fillId="3" borderId="2" xfId="0" applyFont="1" applyFill="1" applyBorder="1" applyAlignment="1">
      <alignment horizontal="right" vertical="center"/>
    </xf>
    <xf numFmtId="0" fontId="12" fillId="3" borderId="56" xfId="0" applyFont="1" applyFill="1" applyBorder="1" applyAlignment="1">
      <alignment horizontal="right" vertical="center" wrapText="1"/>
    </xf>
    <xf numFmtId="0" fontId="12" fillId="3" borderId="56" xfId="0" applyFont="1" applyFill="1" applyBorder="1" applyAlignment="1">
      <alignment horizontal="right" vertical="center"/>
    </xf>
    <xf numFmtId="0" fontId="21" fillId="7" borderId="0" xfId="0" applyFont="1" applyFill="1" applyAlignment="1">
      <alignment horizontal="center" vertical="center" wrapText="1"/>
    </xf>
    <xf numFmtId="0" fontId="21" fillId="7" borderId="45" xfId="0" applyFont="1" applyFill="1" applyBorder="1" applyAlignment="1">
      <alignment horizontal="center" vertical="center" wrapText="1"/>
    </xf>
    <xf numFmtId="0" fontId="21" fillId="9" borderId="0" xfId="0" applyFont="1" applyFill="1" applyAlignment="1">
      <alignment horizontal="center" vertical="center" wrapText="1"/>
    </xf>
    <xf numFmtId="0" fontId="21" fillId="7" borderId="46" xfId="0" applyFont="1" applyFill="1" applyBorder="1" applyAlignment="1">
      <alignment horizontal="center" vertical="center" wrapText="1"/>
    </xf>
    <xf numFmtId="0" fontId="21" fillId="7" borderId="45" xfId="0" applyFont="1" applyFill="1" applyBorder="1" applyAlignment="1">
      <alignment horizontal="left" vertical="center" wrapText="1"/>
    </xf>
    <xf numFmtId="0" fontId="21" fillId="7" borderId="0" xfId="0" applyFont="1" applyFill="1" applyAlignment="1">
      <alignment horizontal="left" vertical="center" wrapText="1"/>
    </xf>
    <xf numFmtId="0" fontId="21" fillId="7" borderId="46" xfId="0" applyFont="1" applyFill="1" applyBorder="1" applyAlignment="1">
      <alignment horizontal="left" vertical="center" wrapText="1"/>
    </xf>
    <xf numFmtId="0" fontId="8" fillId="3" borderId="1"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6" xfId="0" applyFont="1" applyFill="1" applyBorder="1" applyAlignment="1">
      <alignment horizontal="left"/>
    </xf>
    <xf numFmtId="0" fontId="8" fillId="3" borderId="7" xfId="0" applyFont="1" applyFill="1" applyBorder="1" applyAlignment="1">
      <alignment horizontal="left"/>
    </xf>
    <xf numFmtId="0" fontId="8" fillId="3" borderId="8" xfId="0" applyFont="1" applyFill="1" applyBorder="1" applyAlignment="1">
      <alignment horizontal="left"/>
    </xf>
    <xf numFmtId="0" fontId="8" fillId="3" borderId="1" xfId="0" applyFont="1" applyFill="1" applyBorder="1" applyAlignment="1">
      <alignment horizontal="center"/>
    </xf>
    <xf numFmtId="0" fontId="8" fillId="3" borderId="4" xfId="0" applyFont="1" applyFill="1" applyBorder="1" applyAlignment="1">
      <alignment horizontal="center"/>
    </xf>
    <xf numFmtId="0" fontId="8" fillId="3" borderId="26" xfId="0" applyFont="1" applyFill="1" applyBorder="1" applyAlignment="1">
      <alignment horizontal="center"/>
    </xf>
    <xf numFmtId="0" fontId="8" fillId="3" borderId="27" xfId="0" applyFont="1" applyFill="1" applyBorder="1" applyAlignment="1">
      <alignment horizontal="center"/>
    </xf>
    <xf numFmtId="0" fontId="21" fillId="7" borderId="44" xfId="0" applyFont="1" applyFill="1" applyBorder="1" applyAlignment="1">
      <alignment horizontal="center" vertical="center" wrapText="1"/>
    </xf>
    <xf numFmtId="0" fontId="0" fillId="3" borderId="33" xfId="0" applyFill="1" applyBorder="1" applyAlignment="1">
      <alignment horizontal="center"/>
    </xf>
    <xf numFmtId="0" fontId="0" fillId="3" borderId="29" xfId="0" applyFill="1" applyBorder="1" applyAlignment="1">
      <alignment horizontal="center"/>
    </xf>
    <xf numFmtId="0" fontId="0" fillId="3" borderId="30" xfId="0" applyFill="1" applyBorder="1" applyAlignment="1">
      <alignment horizontal="center"/>
    </xf>
    <xf numFmtId="0" fontId="0" fillId="3" borderId="32" xfId="0" applyFill="1" applyBorder="1" applyAlignment="1">
      <alignment horizontal="center"/>
    </xf>
    <xf numFmtId="0" fontId="0" fillId="3" borderId="35" xfId="0" applyFill="1" applyBorder="1" applyAlignment="1">
      <alignment horizontal="center"/>
    </xf>
    <xf numFmtId="0" fontId="0" fillId="3" borderId="40" xfId="0" applyFill="1" applyBorder="1" applyAlignment="1">
      <alignment horizontal="center"/>
    </xf>
    <xf numFmtId="0" fontId="21" fillId="7" borderId="43" xfId="0" applyFont="1" applyFill="1" applyBorder="1" applyAlignment="1">
      <alignment horizontal="center" vertical="center" wrapText="1"/>
    </xf>
    <xf numFmtId="0" fontId="8" fillId="3" borderId="15" xfId="0" applyFont="1" applyFill="1" applyBorder="1" applyAlignment="1">
      <alignment horizontal="left"/>
    </xf>
    <xf numFmtId="0" fontId="8" fillId="3" borderId="16" xfId="0" applyFont="1" applyFill="1" applyBorder="1" applyAlignment="1">
      <alignment horizontal="left"/>
    </xf>
    <xf numFmtId="0" fontId="8" fillId="3" borderId="9" xfId="0" applyFont="1" applyFill="1" applyBorder="1" applyAlignment="1">
      <alignment horizontal="left"/>
    </xf>
    <xf numFmtId="0" fontId="21" fillId="7" borderId="48" xfId="0" applyFont="1" applyFill="1" applyBorder="1" applyAlignment="1">
      <alignment horizontal="center" vertical="center" wrapText="1"/>
    </xf>
    <xf numFmtId="0" fontId="21" fillId="7" borderId="35" xfId="0" applyFont="1" applyFill="1" applyBorder="1" applyAlignment="1">
      <alignment horizontal="center" vertical="center" wrapText="1"/>
    </xf>
    <xf numFmtId="0" fontId="30" fillId="7" borderId="43" xfId="0" applyFont="1" applyFill="1" applyBorder="1" applyAlignment="1">
      <alignment horizontal="center" vertical="center" wrapText="1"/>
    </xf>
    <xf numFmtId="0" fontId="34" fillId="4" borderId="0" xfId="0" applyFont="1" applyFill="1" applyAlignment="1">
      <alignment horizontal="left"/>
    </xf>
    <xf numFmtId="0" fontId="31" fillId="7" borderId="0" xfId="0" applyFont="1" applyFill="1" applyAlignment="1">
      <alignment horizontal="left" vertical="center" wrapText="1"/>
    </xf>
    <xf numFmtId="0" fontId="0" fillId="3" borderId="41" xfId="0" applyFill="1" applyBorder="1" applyAlignment="1">
      <alignment horizontal="center"/>
    </xf>
    <xf numFmtId="0" fontId="0" fillId="3" borderId="34" xfId="0" applyFill="1" applyBorder="1" applyAlignment="1">
      <alignment horizontal="center"/>
    </xf>
    <xf numFmtId="0" fontId="0" fillId="3" borderId="42" xfId="0" applyFill="1" applyBorder="1" applyAlignment="1">
      <alignment horizontal="center"/>
    </xf>
    <xf numFmtId="0" fontId="0" fillId="3" borderId="31" xfId="0" applyFill="1" applyBorder="1" applyAlignment="1">
      <alignment horizontal="center"/>
    </xf>
    <xf numFmtId="0" fontId="31" fillId="7" borderId="43" xfId="0" applyFont="1" applyFill="1" applyBorder="1" applyAlignment="1">
      <alignment horizontal="left" vertical="center" wrapText="1"/>
    </xf>
    <xf numFmtId="0" fontId="31" fillId="7" borderId="43" xfId="0" applyFont="1" applyFill="1" applyBorder="1" applyAlignment="1">
      <alignment horizontal="left" wrapText="1"/>
    </xf>
    <xf numFmtId="0" fontId="31" fillId="7" borderId="0" xfId="0" applyFont="1" applyFill="1" applyAlignment="1">
      <alignment horizontal="left" wrapText="1"/>
    </xf>
    <xf numFmtId="0" fontId="31" fillId="7" borderId="44" xfId="0" applyFont="1" applyFill="1" applyBorder="1" applyAlignment="1">
      <alignment horizontal="left" wrapText="1"/>
    </xf>
    <xf numFmtId="0" fontId="31" fillId="7" borderId="44" xfId="0" applyFont="1" applyFill="1" applyBorder="1" applyAlignment="1">
      <alignment horizontal="left" vertical="center" wrapText="1"/>
    </xf>
    <xf numFmtId="0" fontId="22" fillId="9" borderId="1" xfId="0" applyFont="1" applyFill="1" applyBorder="1" applyAlignment="1">
      <alignment horizontal="center" vertical="center" wrapText="1"/>
    </xf>
    <xf numFmtId="0" fontId="22" fillId="0" borderId="0" xfId="0" applyFont="1" applyAlignment="1">
      <alignment horizontal="center" vertical="top" wrapText="1"/>
    </xf>
    <xf numFmtId="0" fontId="22" fillId="4" borderId="0" xfId="0" applyFont="1" applyFill="1" applyAlignment="1">
      <alignment horizontal="center" vertical="top" wrapText="1"/>
    </xf>
    <xf numFmtId="0" fontId="22" fillId="4" borderId="0" xfId="0" applyFont="1" applyFill="1" applyAlignment="1">
      <alignment horizontal="center" wrapText="1"/>
    </xf>
    <xf numFmtId="0" fontId="8" fillId="3" borderId="25" xfId="0" applyFont="1" applyFill="1" applyBorder="1" applyAlignment="1">
      <alignment horizontal="center"/>
    </xf>
    <xf numFmtId="0" fontId="21" fillId="7" borderId="49" xfId="0" applyFont="1" applyFill="1" applyBorder="1" applyAlignment="1">
      <alignment horizontal="center" vertical="center" wrapText="1"/>
    </xf>
    <xf numFmtId="0" fontId="8" fillId="3" borderId="33" xfId="0" applyFont="1" applyFill="1" applyBorder="1" applyAlignment="1">
      <alignment horizontal="center" vertical="center"/>
    </xf>
    <xf numFmtId="0" fontId="8" fillId="3" borderId="29" xfId="0" applyFont="1" applyFill="1" applyBorder="1" applyAlignment="1">
      <alignment horizontal="center" vertical="center"/>
    </xf>
    <xf numFmtId="0" fontId="8" fillId="3" borderId="34" xfId="0" applyFont="1" applyFill="1" applyBorder="1" applyAlignment="1">
      <alignment horizontal="center" vertical="center"/>
    </xf>
    <xf numFmtId="0" fontId="8" fillId="3" borderId="63" xfId="0" applyFont="1" applyFill="1" applyBorder="1" applyAlignment="1">
      <alignment horizontal="center" vertical="center"/>
    </xf>
    <xf numFmtId="0" fontId="8" fillId="3" borderId="0" xfId="0" applyFont="1" applyFill="1" applyAlignment="1">
      <alignment horizontal="center" vertical="center"/>
    </xf>
    <xf numFmtId="0" fontId="8" fillId="3" borderId="36" xfId="0" applyFont="1" applyFill="1" applyBorder="1" applyAlignment="1">
      <alignment horizontal="center" vertical="center"/>
    </xf>
    <xf numFmtId="0" fontId="22" fillId="4" borderId="86" xfId="0" applyFont="1" applyFill="1" applyBorder="1" applyAlignment="1">
      <alignment horizontal="center"/>
    </xf>
    <xf numFmtId="0" fontId="22" fillId="4" borderId="87" xfId="0" applyFont="1" applyFill="1" applyBorder="1" applyAlignment="1">
      <alignment horizontal="center"/>
    </xf>
    <xf numFmtId="0" fontId="22" fillId="4" borderId="83" xfId="0" applyFont="1" applyFill="1" applyBorder="1" applyAlignment="1">
      <alignment horizontal="center"/>
    </xf>
    <xf numFmtId="0" fontId="8" fillId="3" borderId="33"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3" borderId="63"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36" xfId="0" applyFont="1" applyFill="1" applyBorder="1" applyAlignment="1">
      <alignment horizontal="center" vertical="center" wrapText="1"/>
    </xf>
    <xf numFmtId="0" fontId="86" fillId="9" borderId="1" xfId="0" applyFont="1" applyFill="1" applyBorder="1" applyAlignment="1">
      <alignment horizontal="center" vertical="center" wrapText="1"/>
    </xf>
    <xf numFmtId="0" fontId="85" fillId="9" borderId="0" xfId="0" applyFont="1" applyFill="1" applyAlignment="1">
      <alignment horizontal="center" vertical="center" wrapText="1"/>
    </xf>
    <xf numFmtId="0" fontId="21" fillId="9" borderId="35" xfId="0" applyFont="1" applyFill="1" applyBorder="1" applyAlignment="1">
      <alignment horizontal="center" vertical="center" wrapText="1"/>
    </xf>
    <xf numFmtId="0" fontId="0" fillId="18" borderId="0" xfId="0" applyFill="1" applyAlignment="1">
      <alignment horizontal="center"/>
    </xf>
    <xf numFmtId="0" fontId="48" fillId="9" borderId="0" xfId="0" applyFont="1" applyFill="1" applyAlignment="1">
      <alignment horizontal="center" vertical="center" wrapText="1"/>
    </xf>
    <xf numFmtId="0" fontId="21" fillId="7" borderId="43" xfId="0" applyFont="1" applyFill="1" applyBorder="1" applyAlignment="1">
      <alignment horizontal="center" vertical="top" wrapText="1"/>
    </xf>
    <xf numFmtId="0" fontId="21" fillId="7" borderId="0" xfId="0" applyFont="1" applyFill="1" applyAlignment="1">
      <alignment horizontal="center" vertical="top" wrapText="1"/>
    </xf>
    <xf numFmtId="0" fontId="21" fillId="7" borderId="44" xfId="0" applyFont="1" applyFill="1" applyBorder="1" applyAlignment="1">
      <alignment horizontal="center" vertical="top" wrapText="1"/>
    </xf>
    <xf numFmtId="0" fontId="21" fillId="9" borderId="32" xfId="0" applyFont="1" applyFill="1" applyBorder="1" applyAlignment="1">
      <alignment horizontal="center" vertical="center" wrapText="1"/>
    </xf>
    <xf numFmtId="0" fontId="21" fillId="9" borderId="31" xfId="0" applyFont="1" applyFill="1" applyBorder="1" applyAlignment="1">
      <alignment horizontal="center" vertical="center" wrapText="1"/>
    </xf>
    <xf numFmtId="0" fontId="21" fillId="9" borderId="4" xfId="0" applyFont="1" applyFill="1" applyBorder="1" applyAlignment="1">
      <alignment horizontal="center" vertical="center" wrapText="1"/>
    </xf>
    <xf numFmtId="0" fontId="21" fillId="9" borderId="25" xfId="0" applyFont="1" applyFill="1" applyBorder="1" applyAlignment="1">
      <alignment horizontal="center" vertical="center" wrapText="1"/>
    </xf>
    <xf numFmtId="0" fontId="62" fillId="9" borderId="0" xfId="0" applyFont="1" applyFill="1" applyAlignment="1">
      <alignment horizontal="center" vertical="center" wrapText="1"/>
    </xf>
    <xf numFmtId="0" fontId="57" fillId="9" borderId="0" xfId="0" applyFont="1" applyFill="1" applyAlignment="1">
      <alignment horizontal="center" vertical="center" wrapText="1"/>
    </xf>
    <xf numFmtId="0" fontId="8" fillId="5" borderId="1" xfId="0" applyFont="1" applyFill="1" applyBorder="1" applyAlignment="1">
      <alignment horizontal="left" vertical="center"/>
    </xf>
    <xf numFmtId="0" fontId="8" fillId="5" borderId="1" xfId="0" applyFont="1" applyFill="1" applyBorder="1" applyAlignment="1">
      <alignment horizontal="center"/>
    </xf>
    <xf numFmtId="0" fontId="25" fillId="7" borderId="48" xfId="0" applyFont="1" applyFill="1" applyBorder="1" applyAlignment="1">
      <alignment horizontal="center" vertical="center" wrapText="1"/>
    </xf>
    <xf numFmtId="0" fontId="25" fillId="7" borderId="35" xfId="0" applyFont="1" applyFill="1" applyBorder="1" applyAlignment="1">
      <alignment horizontal="center" vertical="center" wrapText="1"/>
    </xf>
    <xf numFmtId="0" fontId="8" fillId="3" borderId="1" xfId="0" applyFont="1" applyFill="1" applyBorder="1" applyAlignment="1">
      <alignment horizontal="center" vertical="center"/>
    </xf>
    <xf numFmtId="0" fontId="8" fillId="3" borderId="20"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31" fillId="7" borderId="43" xfId="0" applyFont="1" applyFill="1" applyBorder="1" applyAlignment="1">
      <alignment horizontal="left" vertical="center"/>
    </xf>
    <xf numFmtId="0" fontId="31" fillId="7" borderId="0" xfId="0" applyFont="1" applyFill="1" applyAlignment="1">
      <alignment horizontal="left" vertical="center"/>
    </xf>
    <xf numFmtId="0" fontId="31" fillId="7" borderId="44" xfId="0" applyFont="1" applyFill="1" applyBorder="1" applyAlignment="1">
      <alignment horizontal="left" vertical="center"/>
    </xf>
    <xf numFmtId="0" fontId="34" fillId="4" borderId="0" xfId="0" applyFont="1" applyFill="1" applyAlignment="1">
      <alignment horizontal="left" vertical="center"/>
    </xf>
    <xf numFmtId="0" fontId="8" fillId="6" borderId="4" xfId="0" applyFont="1" applyFill="1" applyBorder="1" applyAlignment="1">
      <alignment horizontal="left" vertical="center"/>
    </xf>
    <xf numFmtId="0" fontId="8" fillId="6" borderId="26" xfId="0" applyFont="1" applyFill="1" applyBorder="1" applyAlignment="1">
      <alignment horizontal="left" vertical="center"/>
    </xf>
    <xf numFmtId="0" fontId="8" fillId="6" borderId="25" xfId="0" applyFont="1" applyFill="1" applyBorder="1" applyAlignment="1">
      <alignment horizontal="left" vertical="center"/>
    </xf>
    <xf numFmtId="0" fontId="21" fillId="7" borderId="48" xfId="0" applyFont="1" applyFill="1" applyBorder="1" applyAlignment="1">
      <alignment horizontal="center" vertical="center"/>
    </xf>
    <xf numFmtId="0" fontId="21" fillId="7" borderId="49" xfId="0" applyFont="1" applyFill="1" applyBorder="1" applyAlignment="1">
      <alignment horizontal="center" vertical="center"/>
    </xf>
    <xf numFmtId="0" fontId="8" fillId="6" borderId="1" xfId="0" applyFont="1" applyFill="1" applyBorder="1" applyAlignment="1">
      <alignment horizontal="left" vertical="center"/>
    </xf>
    <xf numFmtId="0" fontId="0" fillId="18" borderId="0" xfId="0" applyFill="1" applyAlignment="1">
      <alignment horizontal="center" vertical="center"/>
    </xf>
    <xf numFmtId="0" fontId="53" fillId="23" borderId="63" xfId="0" applyFont="1" applyFill="1" applyBorder="1" applyAlignment="1">
      <alignment horizontal="center" vertical="center"/>
    </xf>
    <xf numFmtId="0" fontId="53" fillId="23" borderId="0" xfId="0" applyFont="1" applyFill="1" applyAlignment="1">
      <alignment horizontal="center" vertical="center"/>
    </xf>
    <xf numFmtId="0" fontId="53" fillId="23" borderId="36" xfId="0" applyFont="1" applyFill="1" applyBorder="1" applyAlignment="1">
      <alignment horizontal="center" vertical="center"/>
    </xf>
    <xf numFmtId="0" fontId="52" fillId="20" borderId="10" xfId="8" applyBorder="1" applyAlignment="1">
      <alignment horizontal="center" vertical="center"/>
    </xf>
    <xf numFmtId="0" fontId="52" fillId="20" borderId="28" xfId="8" applyBorder="1" applyAlignment="1">
      <alignment horizontal="center" vertical="center"/>
    </xf>
    <xf numFmtId="0" fontId="52" fillId="20" borderId="37" xfId="8" applyBorder="1" applyAlignment="1">
      <alignment horizontal="center" vertical="center"/>
    </xf>
    <xf numFmtId="0" fontId="12" fillId="24" borderId="5" xfId="2" applyFont="1" applyFill="1" applyBorder="1" applyAlignment="1" applyProtection="1">
      <alignment horizontal="center" vertical="center"/>
      <protection locked="0"/>
    </xf>
    <xf numFmtId="0" fontId="12" fillId="24" borderId="32" xfId="2" applyFont="1" applyFill="1" applyBorder="1" applyAlignment="1" applyProtection="1">
      <alignment horizontal="center" vertical="center"/>
      <protection locked="0"/>
    </xf>
    <xf numFmtId="0" fontId="0" fillId="24" borderId="5" xfId="0" applyFill="1" applyBorder="1" applyAlignment="1">
      <alignment horizontal="left" vertical="center" wrapText="1"/>
    </xf>
    <xf numFmtId="0" fontId="0" fillId="24" borderId="1" xfId="0" applyFill="1" applyBorder="1" applyAlignment="1">
      <alignment horizontal="left" vertical="center" wrapText="1"/>
    </xf>
    <xf numFmtId="0" fontId="52" fillId="20" borderId="10" xfId="8" applyBorder="1" applyAlignment="1">
      <alignment horizontal="left" vertical="center"/>
    </xf>
    <xf numFmtId="0" fontId="52" fillId="20" borderId="28" xfId="8" applyBorder="1" applyAlignment="1">
      <alignment horizontal="left" vertical="center"/>
    </xf>
    <xf numFmtId="0" fontId="52" fillId="20" borderId="37" xfId="8" applyBorder="1" applyAlignment="1">
      <alignment horizontal="left" vertical="center"/>
    </xf>
    <xf numFmtId="0" fontId="52" fillId="20" borderId="6" xfId="8" applyBorder="1" applyAlignment="1">
      <alignment horizontal="center" vertical="center"/>
    </xf>
    <xf numFmtId="0" fontId="52" fillId="20" borderId="7" xfId="8" applyBorder="1" applyAlignment="1">
      <alignment horizontal="center" vertical="center"/>
    </xf>
    <xf numFmtId="0" fontId="52" fillId="20" borderId="8" xfId="8" applyBorder="1" applyAlignment="1">
      <alignment horizontal="center" vertical="center"/>
    </xf>
    <xf numFmtId="0" fontId="74" fillId="0" borderId="76" xfId="0" applyFont="1" applyBorder="1" applyAlignment="1">
      <alignment horizontal="left" vertical="center" wrapText="1"/>
    </xf>
    <xf numFmtId="0" fontId="74" fillId="0" borderId="78" xfId="0" applyFont="1" applyBorder="1" applyAlignment="1">
      <alignment horizontal="left" vertical="center" wrapText="1"/>
    </xf>
    <xf numFmtId="0" fontId="74" fillId="0" borderId="80" xfId="0" applyFont="1" applyBorder="1" applyAlignment="1">
      <alignment horizontal="left" vertical="center" wrapText="1"/>
    </xf>
    <xf numFmtId="0" fontId="77" fillId="0" borderId="73" xfId="0" applyFont="1" applyBorder="1" applyAlignment="1">
      <alignment horizontal="center" vertical="center" wrapText="1"/>
    </xf>
    <xf numFmtId="0" fontId="77" fillId="0" borderId="74" xfId="0" applyFont="1" applyBorder="1" applyAlignment="1">
      <alignment horizontal="center" vertical="center" wrapText="1"/>
    </xf>
    <xf numFmtId="0" fontId="77" fillId="0" borderId="75" xfId="0" applyFont="1" applyBorder="1" applyAlignment="1">
      <alignment horizontal="center" vertical="center" wrapText="1"/>
    </xf>
    <xf numFmtId="0" fontId="73" fillId="0" borderId="77" xfId="0" applyFont="1" applyBorder="1" applyAlignment="1">
      <alignment horizontal="center" vertical="center" wrapText="1"/>
    </xf>
    <xf numFmtId="0" fontId="73" fillId="0" borderId="79" xfId="0" applyFont="1" applyBorder="1" applyAlignment="1">
      <alignment horizontal="center" vertical="center" wrapText="1"/>
    </xf>
    <xf numFmtId="0" fontId="73" fillId="0" borderId="81" xfId="0" applyFont="1" applyBorder="1" applyAlignment="1">
      <alignment horizontal="center" vertical="center" wrapText="1"/>
    </xf>
    <xf numFmtId="0" fontId="73" fillId="0" borderId="76" xfId="0" applyFont="1" applyBorder="1" applyAlignment="1">
      <alignment horizontal="left" vertical="center" wrapText="1"/>
    </xf>
    <xf numFmtId="0" fontId="73" fillId="0" borderId="78" xfId="0" applyFont="1" applyBorder="1" applyAlignment="1">
      <alignment horizontal="left" vertical="center" wrapText="1"/>
    </xf>
    <xf numFmtId="0" fontId="73" fillId="0" borderId="80" xfId="0" applyFont="1" applyBorder="1" applyAlignment="1">
      <alignment horizontal="left" vertical="center" wrapText="1"/>
    </xf>
    <xf numFmtId="0" fontId="73" fillId="0" borderId="73" xfId="0" applyFont="1" applyBorder="1" applyAlignment="1">
      <alignment horizontal="center" vertical="center" wrapText="1"/>
    </xf>
    <xf numFmtId="0" fontId="73" fillId="0" borderId="75" xfId="0" applyFont="1" applyBorder="1" applyAlignment="1">
      <alignment horizontal="center" vertical="center" wrapText="1"/>
    </xf>
    <xf numFmtId="0" fontId="74" fillId="0" borderId="73" xfId="0" applyFont="1" applyBorder="1" applyAlignment="1">
      <alignment horizontal="center" vertical="center" wrapText="1"/>
    </xf>
    <xf numFmtId="0" fontId="74" fillId="0" borderId="75" xfId="0" applyFont="1" applyBorder="1" applyAlignment="1">
      <alignment horizontal="center" vertical="center" wrapText="1"/>
    </xf>
    <xf numFmtId="0" fontId="74" fillId="0" borderId="74" xfId="0" applyFont="1" applyBorder="1" applyAlignment="1">
      <alignment horizontal="center" vertical="center" wrapText="1"/>
    </xf>
    <xf numFmtId="0" fontId="79" fillId="0" borderId="76" xfId="0" applyFont="1" applyBorder="1" applyAlignment="1">
      <alignment horizontal="left" vertical="center" wrapText="1"/>
    </xf>
    <xf numFmtId="0" fontId="79" fillId="0" borderId="80" xfId="0" applyFont="1" applyBorder="1" applyAlignment="1">
      <alignment horizontal="left" vertical="center" wrapText="1"/>
    </xf>
    <xf numFmtId="0" fontId="73" fillId="0" borderId="74" xfId="0" applyFont="1" applyBorder="1" applyAlignment="1">
      <alignment horizontal="center" vertical="center" wrapText="1"/>
    </xf>
    <xf numFmtId="0" fontId="0" fillId="3" borderId="2" xfId="0" applyFill="1" applyBorder="1" applyAlignment="1">
      <alignment horizontal="center"/>
    </xf>
    <xf numFmtId="0" fontId="0" fillId="3" borderId="36" xfId="0" applyFill="1" applyBorder="1" applyAlignment="1">
      <alignment horizontal="center"/>
    </xf>
    <xf numFmtId="0" fontId="8" fillId="3" borderId="18" xfId="0" applyFont="1" applyFill="1" applyBorder="1" applyAlignment="1">
      <alignment horizontal="center" vertical="center"/>
    </xf>
    <xf numFmtId="0" fontId="8" fillId="0" borderId="0" xfId="0" applyFont="1" applyAlignment="1">
      <alignment horizontal="left" vertical="center"/>
    </xf>
    <xf numFmtId="0" fontId="17" fillId="0" borderId="0" xfId="0" applyFont="1" applyAlignment="1">
      <alignment horizontal="right"/>
    </xf>
    <xf numFmtId="0" fontId="8" fillId="3" borderId="32" xfId="0" applyFont="1" applyFill="1" applyBorder="1" applyAlignment="1">
      <alignment horizontal="center" vertical="center"/>
    </xf>
    <xf numFmtId="0" fontId="8" fillId="3" borderId="35" xfId="0" applyFont="1" applyFill="1" applyBorder="1" applyAlignment="1">
      <alignment horizontal="center" vertical="center"/>
    </xf>
    <xf numFmtId="0" fontId="8" fillId="3" borderId="31" xfId="0" applyFont="1" applyFill="1" applyBorder="1" applyAlignment="1">
      <alignment horizontal="center" vertical="center"/>
    </xf>
    <xf numFmtId="0" fontId="8" fillId="3" borderId="30"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8" fillId="3" borderId="40" xfId="0" applyFont="1" applyFill="1" applyBorder="1" applyAlignment="1">
      <alignment horizontal="center" vertical="center" wrapText="1"/>
    </xf>
    <xf numFmtId="0" fontId="45" fillId="4" borderId="0" xfId="5" applyFont="1" applyFill="1" applyAlignment="1" applyProtection="1">
      <alignment horizontal="left" vertical="center"/>
      <protection hidden="1"/>
    </xf>
    <xf numFmtId="2" fontId="88" fillId="0" borderId="1" xfId="0" applyNumberFormat="1" applyFont="1" applyBorder="1" applyAlignment="1">
      <alignment horizontal="center" vertical="center"/>
    </xf>
  </cellXfs>
  <cellStyles count="10">
    <cellStyle name="Comma" xfId="1" builtinId="3"/>
    <cellStyle name="Currency" xfId="6" builtinId="4"/>
    <cellStyle name="Good" xfId="7" builtinId="26"/>
    <cellStyle name="Hyperlink" xfId="2" builtinId="8"/>
    <cellStyle name="Neutral 2" xfId="8" xr:uid="{097F6D20-0EE7-4A5A-94D1-FE3D62B9C242}"/>
    <cellStyle name="Normal" xfId="0" builtinId="0"/>
    <cellStyle name="Normal 2" xfId="9" xr:uid="{E2E8AE85-C94E-4DB6-8CCA-4A5CD42D94F7}"/>
    <cellStyle name="Normal 4" xfId="3" xr:uid="{00000000-0005-0000-0000-000003000000}"/>
    <cellStyle name="Normal 5" xfId="4" xr:uid="{00000000-0005-0000-0000-000004000000}"/>
    <cellStyle name="Normal 5 2" xfId="5" xr:uid="{6CAD3964-ABCC-4E1D-8CDF-71345C2B6458}"/>
  </cellStyles>
  <dxfs count="36">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1" tint="4.9989318521683403E-2"/>
      </font>
      <fill>
        <patternFill>
          <bgColor theme="1" tint="4.9989318521683403E-2"/>
        </patternFill>
      </fill>
    </dxf>
    <dxf>
      <font>
        <b/>
        <i val="0"/>
        <color theme="0"/>
      </font>
      <fill>
        <patternFill>
          <bgColor rgb="FFC00000"/>
        </patternFill>
      </fill>
    </dxf>
    <dxf>
      <font>
        <color theme="1" tint="0.14996795556505021"/>
      </font>
      <fill>
        <patternFill>
          <bgColor theme="1" tint="4.9989318521683403E-2"/>
        </patternFill>
      </fill>
    </dxf>
    <dxf>
      <font>
        <b/>
        <i val="0"/>
        <color theme="0"/>
      </font>
      <fill>
        <patternFill>
          <bgColor rgb="FFC00000"/>
        </patternFill>
      </fill>
    </dxf>
    <dxf>
      <font>
        <b/>
        <i val="0"/>
        <color auto="1"/>
      </font>
      <fill>
        <patternFill>
          <bgColor theme="1"/>
        </patternFill>
      </fill>
    </dxf>
    <dxf>
      <font>
        <color theme="1" tint="4.9989318521683403E-2"/>
      </font>
      <fill>
        <patternFill>
          <bgColor theme="1"/>
        </patternFill>
      </fill>
    </dxf>
    <dxf>
      <font>
        <b/>
        <i val="0"/>
        <color theme="0"/>
      </font>
      <fill>
        <patternFill>
          <bgColor rgb="FFC00000"/>
        </patternFill>
      </fill>
    </dxf>
    <dxf>
      <font>
        <color auto="1"/>
      </font>
      <fill>
        <patternFill>
          <bgColor theme="1"/>
        </patternFill>
      </fill>
    </dxf>
    <dxf>
      <font>
        <color theme="1" tint="0.14996795556505021"/>
      </font>
      <fill>
        <patternFill>
          <bgColor theme="1" tint="0.14996795556505021"/>
        </patternFill>
      </fill>
    </dxf>
    <dxf>
      <font>
        <b/>
        <i val="0"/>
        <color theme="0"/>
      </font>
      <fill>
        <patternFill>
          <bgColor rgb="FFC00000"/>
        </patternFill>
      </fill>
    </dxf>
    <dxf>
      <fill>
        <patternFill>
          <bgColor theme="0"/>
        </patternFill>
      </fill>
    </dxf>
    <dxf>
      <font>
        <color theme="0"/>
      </font>
      <fill>
        <patternFill>
          <bgColor rgb="FFC00000"/>
        </patternFill>
      </fill>
    </dxf>
    <dxf>
      <font>
        <color theme="1" tint="0.14996795556505021"/>
      </font>
      <fill>
        <patternFill>
          <bgColor theme="1" tint="0.14996795556505021"/>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1" tint="4.9989318521683403E-2"/>
      </font>
      <fill>
        <patternFill>
          <bgColor theme="1" tint="4.9989318521683403E-2"/>
        </patternFill>
      </fill>
    </dxf>
    <dxf>
      <fill>
        <patternFill>
          <bgColor rgb="FFFF0000"/>
        </patternFill>
      </fill>
    </dxf>
    <dxf>
      <font>
        <color theme="1" tint="4.9989318521683403E-2"/>
      </font>
      <fill>
        <patternFill>
          <bgColor theme="1" tint="4.9989318521683403E-2"/>
        </patternFill>
      </fill>
    </dxf>
    <dxf>
      <font>
        <b/>
        <i val="0"/>
        <color theme="0"/>
      </font>
      <fill>
        <patternFill>
          <bgColor rgb="FFC00000"/>
        </patternFill>
      </fill>
    </dxf>
    <dxf>
      <font>
        <b/>
        <i val="0"/>
        <color theme="0"/>
      </font>
      <fill>
        <patternFill>
          <bgColor rgb="FFC00000"/>
        </patternFill>
      </fill>
    </dxf>
    <dxf>
      <font>
        <color theme="1" tint="0.14996795556505021"/>
      </font>
      <fill>
        <patternFill>
          <bgColor theme="1" tint="0.14996795556505021"/>
        </patternFill>
      </fill>
    </dxf>
    <dxf>
      <font>
        <b/>
        <i val="0"/>
        <color theme="0"/>
      </font>
      <fill>
        <patternFill>
          <bgColor rgb="FFC00000"/>
        </patternFill>
      </fill>
    </dxf>
    <dxf>
      <font>
        <color theme="1" tint="0.14996795556505021"/>
      </font>
      <fill>
        <patternFill>
          <bgColor theme="1" tint="0.14996795556505021"/>
        </patternFill>
      </fill>
    </dxf>
  </dxfs>
  <tableStyles count="0" defaultTableStyle="TableStyleMedium2" defaultPivotStyle="PivotStyleLight16"/>
  <colors>
    <mruColors>
      <color rgb="FFFF66FF"/>
      <color rgb="FF173A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Project Summary'!A1"/></Relationships>
</file>

<file path=xl/drawings/_rels/drawing11.xml.rels><?xml version="1.0" encoding="UTF-8" standalone="yes"?>
<Relationships xmlns="http://schemas.openxmlformats.org/package/2006/relationships"><Relationship Id="rId1" Type="http://schemas.openxmlformats.org/officeDocument/2006/relationships/hyperlink" Target="#'Project Summary'!A1"/></Relationships>
</file>

<file path=xl/drawings/_rels/drawing12.xml.rels><?xml version="1.0" encoding="UTF-8" standalone="yes"?>
<Relationships xmlns="http://schemas.openxmlformats.org/package/2006/relationships"><Relationship Id="rId1" Type="http://schemas.openxmlformats.org/officeDocument/2006/relationships/hyperlink" Target="#'Project Summary'!A1"/></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hyperlink" Target="#'Project Summary'!A1"/></Relationships>
</file>

<file path=xl/drawings/_rels/drawing5.xml.rels><?xml version="1.0" encoding="UTF-8" standalone="yes"?>
<Relationships xmlns="http://schemas.openxmlformats.org/package/2006/relationships"><Relationship Id="rId1" Type="http://schemas.openxmlformats.org/officeDocument/2006/relationships/hyperlink" Target="#'Project Summary'!A1"/></Relationships>
</file>

<file path=xl/drawings/_rels/drawing6.xml.rels><?xml version="1.0" encoding="UTF-8" standalone="yes"?>
<Relationships xmlns="http://schemas.openxmlformats.org/package/2006/relationships"><Relationship Id="rId8" Type="http://schemas.openxmlformats.org/officeDocument/2006/relationships/image" Target="../media/image100.png"/><Relationship Id="rId13" Type="http://schemas.openxmlformats.org/officeDocument/2006/relationships/customXml" Target="../ink/ink4.xml"/><Relationship Id="rId3" Type="http://schemas.openxmlformats.org/officeDocument/2006/relationships/image" Target="../media/image6.png"/><Relationship Id="rId7" Type="http://schemas.openxmlformats.org/officeDocument/2006/relationships/customXml" Target="../ink/ink1.xml"/><Relationship Id="rId12" Type="http://schemas.openxmlformats.org/officeDocument/2006/relationships/image" Target="../media/image12.png"/><Relationship Id="rId2" Type="http://schemas.openxmlformats.org/officeDocument/2006/relationships/image" Target="../media/image5.png"/><Relationship Id="rId16" Type="http://schemas.openxmlformats.org/officeDocument/2006/relationships/image" Target="../media/image1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customXml" Target="../ink/ink3.xml"/><Relationship Id="rId5" Type="http://schemas.openxmlformats.org/officeDocument/2006/relationships/image" Target="../media/image8.png"/><Relationship Id="rId15" Type="http://schemas.openxmlformats.org/officeDocument/2006/relationships/customXml" Target="../ink/ink6.xml"/><Relationship Id="rId10" Type="http://schemas.openxmlformats.org/officeDocument/2006/relationships/image" Target="../media/image110.png"/><Relationship Id="rId4" Type="http://schemas.openxmlformats.org/officeDocument/2006/relationships/image" Target="../media/image7.png"/><Relationship Id="rId9" Type="http://schemas.openxmlformats.org/officeDocument/2006/relationships/customXml" Target="../ink/ink2.xml"/><Relationship Id="rId14" Type="http://schemas.openxmlformats.org/officeDocument/2006/relationships/customXml" Target="../ink/ink5.xml"/></Relationships>
</file>

<file path=xl/drawings/_rels/drawing7.xml.rels><?xml version="1.0" encoding="UTF-8" standalone="yes"?>
<Relationships xmlns="http://schemas.openxmlformats.org/package/2006/relationships"><Relationship Id="rId1" Type="http://schemas.openxmlformats.org/officeDocument/2006/relationships/hyperlink" Target="#'Project Summary'!A1"/></Relationships>
</file>

<file path=xl/drawings/_rels/drawing8.xml.rels><?xml version="1.0" encoding="UTF-8" standalone="yes"?>
<Relationships xmlns="http://schemas.openxmlformats.org/package/2006/relationships"><Relationship Id="rId1" Type="http://schemas.openxmlformats.org/officeDocument/2006/relationships/hyperlink" Target="#'Project Summary'!A1"/></Relationships>
</file>

<file path=xl/drawings/_rels/drawing9.xml.rels><?xml version="1.0" encoding="UTF-8" standalone="yes"?>
<Relationships xmlns="http://schemas.openxmlformats.org/package/2006/relationships"><Relationship Id="rId1" Type="http://schemas.openxmlformats.org/officeDocument/2006/relationships/hyperlink" Target="#'Project Summary'!A1"/></Relationships>
</file>

<file path=xl/drawings/drawing1.xml><?xml version="1.0" encoding="utf-8"?>
<xdr:wsDr xmlns:xdr="http://schemas.openxmlformats.org/drawingml/2006/spreadsheetDrawing" xmlns:a="http://schemas.openxmlformats.org/drawingml/2006/main">
  <xdr:twoCellAnchor>
    <xdr:from>
      <xdr:col>0</xdr:col>
      <xdr:colOff>133350</xdr:colOff>
      <xdr:row>0</xdr:row>
      <xdr:rowOff>142876</xdr:rowOff>
    </xdr:from>
    <xdr:to>
      <xdr:col>13</xdr:col>
      <xdr:colOff>9525</xdr:colOff>
      <xdr:row>3</xdr:row>
      <xdr:rowOff>9526</xdr:rowOff>
    </xdr:to>
    <xdr:sp macro="" textlink="">
      <xdr:nvSpPr>
        <xdr:cNvPr id="3" name="Rectangle: Top Corners Rounded 2">
          <a:extLst>
            <a:ext uri="{FF2B5EF4-FFF2-40B4-BE49-F238E27FC236}">
              <a16:creationId xmlns:a16="http://schemas.microsoft.com/office/drawing/2014/main" id="{12D197DE-5625-47C0-8098-2D9712BBC3CE}"/>
            </a:ext>
          </a:extLst>
        </xdr:cNvPr>
        <xdr:cNvSpPr/>
      </xdr:nvSpPr>
      <xdr:spPr>
        <a:xfrm>
          <a:off x="133350" y="142876"/>
          <a:ext cx="6315075" cy="1009650"/>
        </a:xfrm>
        <a:prstGeom prst="round2SameRect">
          <a:avLst>
            <a:gd name="adj1" fmla="val 37821"/>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266701</xdr:colOff>
      <xdr:row>1</xdr:row>
      <xdr:rowOff>190501</xdr:rowOff>
    </xdr:from>
    <xdr:to>
      <xdr:col>5</xdr:col>
      <xdr:colOff>85725</xdr:colOff>
      <xdr:row>2</xdr:row>
      <xdr:rowOff>431245</xdr:rowOff>
    </xdr:to>
    <xdr:pic>
      <xdr:nvPicPr>
        <xdr:cNvPr id="4" name="Picture 3">
          <a:extLst>
            <a:ext uri="{FF2B5EF4-FFF2-40B4-BE49-F238E27FC236}">
              <a16:creationId xmlns:a16="http://schemas.microsoft.com/office/drawing/2014/main" id="{CE62B691-2FFA-4F73-A14F-48981583CA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6" y="333376"/>
          <a:ext cx="1381124" cy="545544"/>
        </a:xfrm>
        <a:prstGeom prst="rect">
          <a:avLst/>
        </a:prstGeom>
      </xdr:spPr>
    </xdr:pic>
    <xdr:clientData/>
  </xdr:twoCellAnchor>
  <xdr:twoCellAnchor>
    <xdr:from>
      <xdr:col>5</xdr:col>
      <xdr:colOff>95250</xdr:colOff>
      <xdr:row>1</xdr:row>
      <xdr:rowOff>219076</xdr:rowOff>
    </xdr:from>
    <xdr:to>
      <xdr:col>11</xdr:col>
      <xdr:colOff>419100</xdr:colOff>
      <xdr:row>2</xdr:row>
      <xdr:rowOff>361950</xdr:rowOff>
    </xdr:to>
    <xdr:sp macro="" textlink="">
      <xdr:nvSpPr>
        <xdr:cNvPr id="6" name="TextBox 5">
          <a:extLst>
            <a:ext uri="{FF2B5EF4-FFF2-40B4-BE49-F238E27FC236}">
              <a16:creationId xmlns:a16="http://schemas.microsoft.com/office/drawing/2014/main" id="{3F980F9F-A519-4CEC-824F-11375763BCC3}"/>
            </a:ext>
          </a:extLst>
        </xdr:cNvPr>
        <xdr:cNvSpPr txBox="1"/>
      </xdr:nvSpPr>
      <xdr:spPr>
        <a:xfrm>
          <a:off x="1800225" y="361951"/>
          <a:ext cx="4048125" cy="447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solidFill>
                <a:schemeClr val="bg1"/>
              </a:solidFill>
              <a:latin typeface="Tahoma" panose="020B0604030504040204" pitchFamily="34" charset="0"/>
              <a:ea typeface="Tahoma" panose="020B0604030504040204" pitchFamily="34" charset="0"/>
              <a:cs typeface="Tahoma" panose="020B0604030504040204" pitchFamily="34" charset="0"/>
            </a:rPr>
            <a:t>HVAC Calculator Instructions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0</xdr:row>
      <xdr:rowOff>129540</xdr:rowOff>
    </xdr:from>
    <xdr:to>
      <xdr:col>36</xdr:col>
      <xdr:colOff>0</xdr:colOff>
      <xdr:row>3</xdr:row>
      <xdr:rowOff>76200</xdr:rowOff>
    </xdr:to>
    <xdr:sp macro="" textlink="">
      <xdr:nvSpPr>
        <xdr:cNvPr id="4" name="Rectangle: Top Corners Rounded 3">
          <a:extLst>
            <a:ext uri="{FF2B5EF4-FFF2-40B4-BE49-F238E27FC236}">
              <a16:creationId xmlns:a16="http://schemas.microsoft.com/office/drawing/2014/main" id="{79F8F0D9-E863-494F-8E2C-62FF3A66C62D}"/>
            </a:ext>
          </a:extLst>
        </xdr:cNvPr>
        <xdr:cNvSpPr/>
      </xdr:nvSpPr>
      <xdr:spPr>
        <a:xfrm>
          <a:off x="95251" y="129540"/>
          <a:ext cx="34404300" cy="1032510"/>
        </a:xfrm>
        <a:prstGeom prst="round2SameRect">
          <a:avLst>
            <a:gd name="adj1" fmla="val 37821"/>
            <a:gd name="adj2" fmla="val 0"/>
          </a:avLst>
        </a:prstGeom>
        <a:solidFill>
          <a:schemeClr val="bg2">
            <a:lumMod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285751</xdr:colOff>
      <xdr:row>1</xdr:row>
      <xdr:rowOff>352425</xdr:rowOff>
    </xdr:from>
    <xdr:to>
      <xdr:col>7</xdr:col>
      <xdr:colOff>704851</xdr:colOff>
      <xdr:row>3</xdr:row>
      <xdr:rowOff>57150</xdr:rowOff>
    </xdr:to>
    <xdr:sp macro="" textlink="">
      <xdr:nvSpPr>
        <xdr:cNvPr id="2" name="TextBox 1">
          <a:extLst>
            <a:ext uri="{FF2B5EF4-FFF2-40B4-BE49-F238E27FC236}">
              <a16:creationId xmlns:a16="http://schemas.microsoft.com/office/drawing/2014/main" id="{C91717B3-F99A-4FC7-B071-C7A84C1A2C2E}"/>
            </a:ext>
          </a:extLst>
        </xdr:cNvPr>
        <xdr:cNvSpPr txBox="1"/>
      </xdr:nvSpPr>
      <xdr:spPr>
        <a:xfrm>
          <a:off x="381001" y="723900"/>
          <a:ext cx="948690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Eligible PTAC units must be used for comfort cooling applications, and must meet or exceed full load cooling efficiency requirements as defined in columns T and U.  </a:t>
          </a:r>
          <a:r>
            <a:rPr lang="en-US" sz="1100" b="0" i="0">
              <a:solidFill>
                <a:schemeClr val="bg1"/>
              </a:solidFill>
              <a:effectLst/>
              <a:latin typeface="+mn-lt"/>
              <a:ea typeface="+mn-ea"/>
              <a:cs typeface="+mn-cs"/>
            </a:rPr>
            <a:t>Cooling capacities referenced below are </a:t>
          </a:r>
          <a:r>
            <a:rPr lang="en-US" sz="1100">
              <a:solidFill>
                <a:schemeClr val="bg1"/>
              </a:solidFill>
              <a:effectLst/>
              <a:latin typeface="+mn-lt"/>
              <a:ea typeface="+mn-ea"/>
              <a:cs typeface="+mn-cs"/>
            </a:rPr>
            <a:t>Air Conditioning, Heating, and Refrigeration Institute (AHRI) rated capacities</a:t>
          </a:r>
          <a:r>
            <a:rPr lang="en-US" sz="1100" b="0" i="0">
              <a:solidFill>
                <a:schemeClr val="bg1"/>
              </a:solidFill>
              <a:effectLst/>
              <a:latin typeface="+mn-lt"/>
              <a:ea typeface="+mn-ea"/>
              <a:cs typeface="+mn-cs"/>
            </a:rPr>
            <a:t>.  </a:t>
          </a:r>
          <a:r>
            <a:rPr lang="en-US" sz="1100" b="0" i="0" baseline="0">
              <a:solidFill>
                <a:schemeClr val="bg1"/>
              </a:solidFill>
              <a:effectLst/>
              <a:latin typeface="+mn-lt"/>
              <a:ea typeface="+mn-ea"/>
              <a:cs typeface="+mn-cs"/>
            </a:rPr>
            <a:t>Replacement units shall be factory labeled as follows: "Manufactured for replacement applications only: not to be installed in new construction projects". Replacement efficiencies only apply to units with existing sleeves less than 16 inches in height and less than 42 in width.  Anything not labeled as a "Replacement Unit" should have an installation type of "New Unit".  </a:t>
          </a:r>
          <a:endParaRPr lang="en-US" sz="1100">
            <a:solidFill>
              <a:schemeClr val="bg1"/>
            </a:solidFill>
          </a:endParaRPr>
        </a:p>
      </xdr:txBody>
    </xdr:sp>
    <xdr:clientData/>
  </xdr:twoCellAnchor>
  <xdr:twoCellAnchor>
    <xdr:from>
      <xdr:col>1</xdr:col>
      <xdr:colOff>200025</xdr:colOff>
      <xdr:row>1</xdr:row>
      <xdr:rowOff>133350</xdr:rowOff>
    </xdr:from>
    <xdr:to>
      <xdr:col>4</xdr:col>
      <xdr:colOff>1876425</xdr:colOff>
      <xdr:row>2</xdr:row>
      <xdr:rowOff>123825</xdr:rowOff>
    </xdr:to>
    <xdr:sp macro="" textlink="">
      <xdr:nvSpPr>
        <xdr:cNvPr id="5" name="TextBox 2">
          <a:extLst>
            <a:ext uri="{FF2B5EF4-FFF2-40B4-BE49-F238E27FC236}">
              <a16:creationId xmlns:a16="http://schemas.microsoft.com/office/drawing/2014/main" id="{B63D9A0B-29D3-45F5-8810-E78308497F2F}"/>
            </a:ext>
            <a:ext uri="{147F2762-F138-4A5C-976F-8EAC2B608ADB}">
              <a16:predDERef xmlns:a16="http://schemas.microsoft.com/office/drawing/2014/main" pred="{C91717B3-F99A-4FC7-B071-C7A84C1A2C2E}"/>
            </a:ext>
          </a:extLst>
        </xdr:cNvPr>
        <xdr:cNvSpPr txBox="1"/>
      </xdr:nvSpPr>
      <xdr:spPr>
        <a:xfrm>
          <a:off x="295275" y="504825"/>
          <a:ext cx="5581650"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atin typeface="Tahoma" panose="020B0604030504040204" pitchFamily="34" charset="0"/>
              <a:ea typeface="Tahoma" panose="020B0604030504040204" pitchFamily="34" charset="0"/>
              <a:cs typeface="Tahoma" panose="020B0604030504040204" pitchFamily="34" charset="0"/>
            </a:rPr>
            <a:t> </a:t>
          </a:r>
          <a:r>
            <a:rPr lang="en-US" sz="1600" b="1">
              <a:solidFill>
                <a:schemeClr val="bg1"/>
              </a:solidFill>
              <a:latin typeface="Tahoma" panose="020B0604030504040204" pitchFamily="34" charset="0"/>
              <a:ea typeface="Tahoma" panose="020B0604030504040204" pitchFamily="34" charset="0"/>
              <a:cs typeface="Tahoma" panose="020B0604030504040204" pitchFamily="34" charset="0"/>
            </a:rPr>
            <a:t>Packaged Terminal Air Conditioners (PTACs)</a:t>
          </a:r>
        </a:p>
      </xdr:txBody>
    </xdr:sp>
    <xdr:clientData/>
  </xdr:twoCellAnchor>
  <xdr:twoCellAnchor>
    <xdr:from>
      <xdr:col>7</xdr:col>
      <xdr:colOff>466726</xdr:colOff>
      <xdr:row>0</xdr:row>
      <xdr:rowOff>276225</xdr:rowOff>
    </xdr:from>
    <xdr:to>
      <xdr:col>9</xdr:col>
      <xdr:colOff>66676</xdr:colOff>
      <xdr:row>1</xdr:row>
      <xdr:rowOff>238125</xdr:rowOff>
    </xdr:to>
    <xdr:sp macro="" textlink="">
      <xdr:nvSpPr>
        <xdr:cNvPr id="7" name="Rectangle: Rounded Corners 6">
          <a:hlinkClick xmlns:r="http://schemas.openxmlformats.org/officeDocument/2006/relationships" r:id="rId1"/>
          <a:extLst>
            <a:ext uri="{FF2B5EF4-FFF2-40B4-BE49-F238E27FC236}">
              <a16:creationId xmlns:a16="http://schemas.microsoft.com/office/drawing/2014/main" id="{37E092B0-8657-4C38-9C09-CF017DC2BE70}"/>
            </a:ext>
          </a:extLst>
        </xdr:cNvPr>
        <xdr:cNvSpPr/>
      </xdr:nvSpPr>
      <xdr:spPr>
        <a:xfrm>
          <a:off x="8791576" y="276225"/>
          <a:ext cx="2286000" cy="333375"/>
        </a:xfrm>
        <a:prstGeom prst="roundRect">
          <a:avLst>
            <a:gd name="adj" fmla="val 29570"/>
          </a:avLst>
        </a:prstGeom>
        <a:solidFill>
          <a:schemeClr val="bg2">
            <a:lumMod val="2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400051</xdr:colOff>
      <xdr:row>0</xdr:row>
      <xdr:rowOff>304801</xdr:rowOff>
    </xdr:from>
    <xdr:to>
      <xdr:col>9</xdr:col>
      <xdr:colOff>114300</xdr:colOff>
      <xdr:row>1</xdr:row>
      <xdr:rowOff>200026</xdr:rowOff>
    </xdr:to>
    <xdr:sp macro="" textlink="">
      <xdr:nvSpPr>
        <xdr:cNvPr id="8" name="TextBox 7">
          <a:hlinkClick xmlns:r="http://schemas.openxmlformats.org/officeDocument/2006/relationships" r:id="rId1"/>
          <a:extLst>
            <a:ext uri="{FF2B5EF4-FFF2-40B4-BE49-F238E27FC236}">
              <a16:creationId xmlns:a16="http://schemas.microsoft.com/office/drawing/2014/main" id="{5ECBC716-35F6-46A0-B80C-B35AD3B90D79}"/>
            </a:ext>
          </a:extLst>
        </xdr:cNvPr>
        <xdr:cNvSpPr txBox="1"/>
      </xdr:nvSpPr>
      <xdr:spPr>
        <a:xfrm>
          <a:off x="8724901" y="304801"/>
          <a:ext cx="2400299"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rPr>
            <a:t> ← </a:t>
          </a:r>
          <a:r>
            <a:rPr lang="en-US" sz="1300" b="1">
              <a:solidFill>
                <a:schemeClr val="bg1"/>
              </a:solidFill>
            </a:rPr>
            <a:t>Return to Project Summary</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0</xdr:row>
      <xdr:rowOff>104775</xdr:rowOff>
    </xdr:from>
    <xdr:to>
      <xdr:col>57</xdr:col>
      <xdr:colOff>0</xdr:colOff>
      <xdr:row>2</xdr:row>
      <xdr:rowOff>180975</xdr:rowOff>
    </xdr:to>
    <xdr:sp macro="" textlink="">
      <xdr:nvSpPr>
        <xdr:cNvPr id="4" name="Rectangle: Top Corners Rounded 3">
          <a:extLst>
            <a:ext uri="{FF2B5EF4-FFF2-40B4-BE49-F238E27FC236}">
              <a16:creationId xmlns:a16="http://schemas.microsoft.com/office/drawing/2014/main" id="{C8F44D00-23FC-4579-91CD-504F4B977020}"/>
            </a:ext>
          </a:extLst>
        </xdr:cNvPr>
        <xdr:cNvSpPr/>
      </xdr:nvSpPr>
      <xdr:spPr>
        <a:xfrm>
          <a:off x="114300" y="104775"/>
          <a:ext cx="34632900" cy="962025"/>
        </a:xfrm>
        <a:prstGeom prst="round2SameRect">
          <a:avLst>
            <a:gd name="adj1" fmla="val 37821"/>
            <a:gd name="adj2" fmla="val 0"/>
          </a:avLst>
        </a:prstGeom>
        <a:solidFill>
          <a:schemeClr val="bg2">
            <a:lumMod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1</xdr:col>
      <xdr:colOff>247650</xdr:colOff>
      <xdr:row>1</xdr:row>
      <xdr:rowOff>396240</xdr:rowOff>
    </xdr:from>
    <xdr:to>
      <xdr:col>7</xdr:col>
      <xdr:colOff>1005840</xdr:colOff>
      <xdr:row>3</xdr:row>
      <xdr:rowOff>233226</xdr:rowOff>
    </xdr:to>
    <xdr:sp macro="" textlink="">
      <xdr:nvSpPr>
        <xdr:cNvPr id="2" name="TextBox 1">
          <a:extLst>
            <a:ext uri="{FF2B5EF4-FFF2-40B4-BE49-F238E27FC236}">
              <a16:creationId xmlns:a16="http://schemas.microsoft.com/office/drawing/2014/main" id="{4B3933BC-8D66-4332-A2D7-706D8AA366DF}"/>
            </a:ext>
          </a:extLst>
        </xdr:cNvPr>
        <xdr:cNvSpPr txBox="1"/>
      </xdr:nvSpPr>
      <xdr:spPr>
        <a:xfrm>
          <a:off x="356507" y="763633"/>
          <a:ext cx="11575869" cy="871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effectLst/>
              <a:latin typeface="+mn-lt"/>
              <a:ea typeface="+mn-ea"/>
              <a:cs typeface="+mn-cs"/>
            </a:rPr>
            <a:t>Eligible PTHP units must be used for heating and comfort cooling</a:t>
          </a:r>
          <a:r>
            <a:rPr lang="en-US" sz="1100" baseline="0">
              <a:solidFill>
                <a:schemeClr val="bg1"/>
              </a:solidFill>
              <a:effectLst/>
              <a:latin typeface="+mn-lt"/>
              <a:ea typeface="+mn-ea"/>
              <a:cs typeface="+mn-cs"/>
            </a:rPr>
            <a:t> </a:t>
          </a:r>
          <a:r>
            <a:rPr lang="en-US" sz="1100">
              <a:solidFill>
                <a:schemeClr val="bg1"/>
              </a:solidFill>
              <a:effectLst/>
              <a:latin typeface="+mn-lt"/>
              <a:ea typeface="+mn-ea"/>
              <a:cs typeface="+mn-cs"/>
            </a:rPr>
            <a:t>applications, and </a:t>
          </a:r>
          <a:r>
            <a:rPr lang="en-US" sz="1100">
              <a:solidFill>
                <a:schemeClr val="bg1"/>
              </a:solidFill>
            </a:rPr>
            <a:t>meet or exceed full load cooling and heating efficiency requirements as defined in columns Z and AA and columns AJ and AK.  </a:t>
          </a:r>
          <a:r>
            <a:rPr lang="en-US" sz="1100" b="0" i="0">
              <a:solidFill>
                <a:schemeClr val="bg1"/>
              </a:solidFill>
              <a:effectLst/>
              <a:latin typeface="+mn-lt"/>
              <a:ea typeface="+mn-ea"/>
              <a:cs typeface="+mn-cs"/>
            </a:rPr>
            <a:t>Cooling capacities referenced below are </a:t>
          </a:r>
          <a:r>
            <a:rPr lang="en-US" sz="1100">
              <a:solidFill>
                <a:schemeClr val="bg1"/>
              </a:solidFill>
              <a:latin typeface="+mn-lt"/>
              <a:ea typeface="+mn-ea"/>
              <a:cs typeface="+mn-cs"/>
            </a:rPr>
            <a:t>Air Conditioning, Heating, and Refrigeration Institute (AHRI) rated capacities</a:t>
          </a:r>
          <a:r>
            <a:rPr lang="en-US" sz="1100" b="0" i="0">
              <a:solidFill>
                <a:schemeClr val="bg1"/>
              </a:solidFill>
              <a:effectLst/>
              <a:latin typeface="+mn-lt"/>
              <a:ea typeface="+mn-ea"/>
              <a:cs typeface="+mn-cs"/>
            </a:rPr>
            <a:t>.</a:t>
          </a:r>
          <a:r>
            <a:rPr lang="en-US" sz="1100">
              <a:solidFill>
                <a:schemeClr val="bg1"/>
              </a:solidFill>
            </a:rPr>
            <a:t>  </a:t>
          </a:r>
          <a:r>
            <a:rPr lang="en-US" sz="1100" b="0" i="0" u="none" strike="noStrike" baseline="0">
              <a:solidFill>
                <a:schemeClr val="bg1"/>
              </a:solidFill>
              <a:latin typeface="+mn-lt"/>
              <a:ea typeface="+mn-ea"/>
              <a:cs typeface="+mn-cs"/>
            </a:rPr>
            <a:t>Replacement units shall be factory labeled as follows: "Manufactured for replacement applications only: not to be installed in new construction projects". Replacement efficiencies only apply to units with existing sleeves less than 16 inches in height and less than 42 in width.  Anything not labeled as a "Replacement Unit" should have an installation type of "New Unit".  </a:t>
          </a:r>
          <a:endParaRPr lang="en-US" sz="1100">
            <a:solidFill>
              <a:schemeClr val="bg1"/>
            </a:solidFill>
          </a:endParaRPr>
        </a:p>
      </xdr:txBody>
    </xdr:sp>
    <xdr:clientData/>
  </xdr:twoCellAnchor>
  <xdr:twoCellAnchor>
    <xdr:from>
      <xdr:col>1</xdr:col>
      <xdr:colOff>266700</xdr:colOff>
      <xdr:row>0</xdr:row>
      <xdr:rowOff>323851</xdr:rowOff>
    </xdr:from>
    <xdr:to>
      <xdr:col>4</xdr:col>
      <xdr:colOff>638175</xdr:colOff>
      <xdr:row>2</xdr:row>
      <xdr:rowOff>133351</xdr:rowOff>
    </xdr:to>
    <xdr:sp macro="" textlink="">
      <xdr:nvSpPr>
        <xdr:cNvPr id="3" name="TextBox 2">
          <a:extLst>
            <a:ext uri="{FF2B5EF4-FFF2-40B4-BE49-F238E27FC236}">
              <a16:creationId xmlns:a16="http://schemas.microsoft.com/office/drawing/2014/main" id="{93D10BAF-1D39-42D3-847D-34C11B65C9BF}"/>
            </a:ext>
          </a:extLst>
        </xdr:cNvPr>
        <xdr:cNvSpPr txBox="1"/>
      </xdr:nvSpPr>
      <xdr:spPr>
        <a:xfrm>
          <a:off x="371475" y="323851"/>
          <a:ext cx="4391025"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latin typeface="Tahoma" panose="020B0604030504040204" pitchFamily="34" charset="0"/>
              <a:ea typeface="Tahoma" panose="020B0604030504040204" pitchFamily="34" charset="0"/>
              <a:cs typeface="Tahoma" panose="020B0604030504040204" pitchFamily="34" charset="0"/>
            </a:rPr>
            <a:t>Packaged Terminal Heat Pumps (PTHPs)</a:t>
          </a:r>
        </a:p>
      </xdr:txBody>
    </xdr:sp>
    <xdr:clientData/>
  </xdr:twoCellAnchor>
  <xdr:twoCellAnchor>
    <xdr:from>
      <xdr:col>6</xdr:col>
      <xdr:colOff>1085848</xdr:colOff>
      <xdr:row>0</xdr:row>
      <xdr:rowOff>285750</xdr:rowOff>
    </xdr:from>
    <xdr:to>
      <xdr:col>8</xdr:col>
      <xdr:colOff>1019175</xdr:colOff>
      <xdr:row>1</xdr:row>
      <xdr:rowOff>266701</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1261DF8-E1F3-46E5-AC61-DD21EF75951C}"/>
            </a:ext>
          </a:extLst>
        </xdr:cNvPr>
        <xdr:cNvSpPr/>
      </xdr:nvSpPr>
      <xdr:spPr>
        <a:xfrm>
          <a:off x="8524873" y="285750"/>
          <a:ext cx="2181227" cy="352426"/>
        </a:xfrm>
        <a:prstGeom prst="roundRect">
          <a:avLst>
            <a:gd name="adj" fmla="val 29570"/>
          </a:avLst>
        </a:prstGeom>
        <a:solidFill>
          <a:schemeClr val="bg2">
            <a:lumMod val="2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1019175</xdr:colOff>
      <xdr:row>0</xdr:row>
      <xdr:rowOff>301792</xdr:rowOff>
    </xdr:from>
    <xdr:to>
      <xdr:col>8</xdr:col>
      <xdr:colOff>1038225</xdr:colOff>
      <xdr:row>1</xdr:row>
      <xdr:rowOff>228600</xdr:rowOff>
    </xdr:to>
    <xdr:sp macro="" textlink="">
      <xdr:nvSpPr>
        <xdr:cNvPr id="6" name="TextBox 5">
          <a:hlinkClick xmlns:r="http://schemas.openxmlformats.org/officeDocument/2006/relationships" r:id="rId1"/>
          <a:extLst>
            <a:ext uri="{FF2B5EF4-FFF2-40B4-BE49-F238E27FC236}">
              <a16:creationId xmlns:a16="http://schemas.microsoft.com/office/drawing/2014/main" id="{0AD39B8E-179A-4BD3-9A47-85908E5D812F}"/>
            </a:ext>
          </a:extLst>
        </xdr:cNvPr>
        <xdr:cNvSpPr txBox="1"/>
      </xdr:nvSpPr>
      <xdr:spPr>
        <a:xfrm>
          <a:off x="8458200" y="301792"/>
          <a:ext cx="2266950" cy="298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rPr>
            <a:t> ← </a:t>
          </a:r>
          <a:r>
            <a:rPr lang="en-US" sz="1300" b="1">
              <a:solidFill>
                <a:schemeClr val="bg1"/>
              </a:solidFill>
            </a:rPr>
            <a:t>Return to Project Summary</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0</xdr:row>
      <xdr:rowOff>104775</xdr:rowOff>
    </xdr:from>
    <xdr:to>
      <xdr:col>53</xdr:col>
      <xdr:colOff>0</xdr:colOff>
      <xdr:row>2</xdr:row>
      <xdr:rowOff>180975</xdr:rowOff>
    </xdr:to>
    <xdr:sp macro="" textlink="">
      <xdr:nvSpPr>
        <xdr:cNvPr id="2" name="Rectangle: Top Corners Rounded 1">
          <a:extLst>
            <a:ext uri="{FF2B5EF4-FFF2-40B4-BE49-F238E27FC236}">
              <a16:creationId xmlns:a16="http://schemas.microsoft.com/office/drawing/2014/main" id="{2AC31B9D-F464-4172-A0C4-5C7B90870F64}"/>
            </a:ext>
          </a:extLst>
        </xdr:cNvPr>
        <xdr:cNvSpPr/>
      </xdr:nvSpPr>
      <xdr:spPr>
        <a:xfrm>
          <a:off x="104775" y="104775"/>
          <a:ext cx="51206400" cy="962025"/>
        </a:xfrm>
        <a:prstGeom prst="round2SameRect">
          <a:avLst>
            <a:gd name="adj1" fmla="val 37821"/>
            <a:gd name="adj2" fmla="val 0"/>
          </a:avLst>
        </a:prstGeom>
        <a:solidFill>
          <a:schemeClr val="bg2">
            <a:lumMod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1</xdr:col>
      <xdr:colOff>247648</xdr:colOff>
      <xdr:row>2</xdr:row>
      <xdr:rowOff>95250</xdr:rowOff>
    </xdr:from>
    <xdr:to>
      <xdr:col>10</xdr:col>
      <xdr:colOff>1376796</xdr:colOff>
      <xdr:row>4</xdr:row>
      <xdr:rowOff>4626</xdr:rowOff>
    </xdr:to>
    <xdr:sp macro="" textlink="">
      <xdr:nvSpPr>
        <xdr:cNvPr id="3" name="TextBox 2">
          <a:extLst>
            <a:ext uri="{FF2B5EF4-FFF2-40B4-BE49-F238E27FC236}">
              <a16:creationId xmlns:a16="http://schemas.microsoft.com/office/drawing/2014/main" id="{4FB21890-7D1B-43B5-9B8F-7833B9E06358}"/>
            </a:ext>
          </a:extLst>
        </xdr:cNvPr>
        <xdr:cNvSpPr txBox="1"/>
      </xdr:nvSpPr>
      <xdr:spPr>
        <a:xfrm>
          <a:off x="394853" y="684068"/>
          <a:ext cx="12801602" cy="12861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a:solidFill>
                <a:schemeClr val="bg1"/>
              </a:solidFill>
              <a:effectLst/>
              <a:latin typeface="+mn-lt"/>
              <a:ea typeface="+mn-ea"/>
              <a:cs typeface="+mn-cs"/>
            </a:rPr>
            <a:t>ENERGY STAR</a:t>
          </a:r>
          <a:r>
            <a:rPr lang="en-US" sz="1400" b="0" i="0" baseline="30000">
              <a:solidFill>
                <a:schemeClr val="bg1"/>
              </a:solidFill>
              <a:effectLst/>
              <a:latin typeface="+mn-lt"/>
              <a:ea typeface="+mn-ea"/>
              <a:cs typeface="+mn-cs"/>
            </a:rPr>
            <a:t>®</a:t>
          </a:r>
          <a:r>
            <a:rPr lang="en-US" sz="1400" b="0" i="0">
              <a:solidFill>
                <a:schemeClr val="bg1"/>
              </a:solidFill>
              <a:effectLst/>
              <a:latin typeface="+mn-lt"/>
              <a:ea typeface="+mn-ea"/>
              <a:cs typeface="+mn-cs"/>
            </a:rPr>
            <a:t>-certified connected thermostats may replace either a manual thermostat or a conventional programmable thermostat. The energy savings assume an existing ducted HVAC system with either a heat pump, fossil fuel heating with central AC, or an electric furnace with central AC. CT or line voltage thermostats controlling radiant floor heating or window type air conditioning units are not eligible. Must be installed in a nonresidential</a:t>
          </a:r>
          <a:r>
            <a:rPr lang="en-US" sz="1400" b="0" i="0" baseline="0">
              <a:solidFill>
                <a:schemeClr val="bg1"/>
              </a:solidFill>
              <a:effectLst/>
              <a:latin typeface="+mn-lt"/>
              <a:ea typeface="+mn-ea"/>
              <a:cs typeface="+mn-cs"/>
            </a:rPr>
            <a:t> facility with central cooling or heating or line voltage heating provided that professional installers use aftermarket transformers to step down the line voltage to 24V. Eligible HVAC systems must be single-zone and &lt;65 kBtu/h for cooling systems and &lt;225 kBtu/h for heating systems.</a:t>
          </a:r>
          <a:endParaRPr lang="en-US" sz="1400">
            <a:solidFill>
              <a:schemeClr val="bg1"/>
            </a:solidFill>
          </a:endParaRPr>
        </a:p>
      </xdr:txBody>
    </xdr:sp>
    <xdr:clientData/>
  </xdr:twoCellAnchor>
  <xdr:twoCellAnchor>
    <xdr:from>
      <xdr:col>1</xdr:col>
      <xdr:colOff>266700</xdr:colOff>
      <xdr:row>1</xdr:row>
      <xdr:rowOff>1</xdr:rowOff>
    </xdr:from>
    <xdr:to>
      <xdr:col>8</xdr:col>
      <xdr:colOff>0</xdr:colOff>
      <xdr:row>2</xdr:row>
      <xdr:rowOff>133351</xdr:rowOff>
    </xdr:to>
    <xdr:sp macro="" textlink="">
      <xdr:nvSpPr>
        <xdr:cNvPr id="4" name="TextBox 3">
          <a:extLst>
            <a:ext uri="{FF2B5EF4-FFF2-40B4-BE49-F238E27FC236}">
              <a16:creationId xmlns:a16="http://schemas.microsoft.com/office/drawing/2014/main" id="{E7DF7AB7-FAD4-4649-9FA8-E9E394477009}"/>
            </a:ext>
          </a:extLst>
        </xdr:cNvPr>
        <xdr:cNvSpPr txBox="1"/>
      </xdr:nvSpPr>
      <xdr:spPr>
        <a:xfrm>
          <a:off x="409575" y="190501"/>
          <a:ext cx="613410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latin typeface="Tahoma" panose="020B0604030504040204" pitchFamily="34" charset="0"/>
              <a:ea typeface="Tahoma" panose="020B0604030504040204" pitchFamily="34" charset="0"/>
              <a:cs typeface="Tahoma" panose="020B0604030504040204" pitchFamily="34" charset="0"/>
            </a:rPr>
            <a:t>ENERGY STAR</a:t>
          </a:r>
          <a:r>
            <a:rPr lang="en-US" sz="2000" b="1" i="0" baseline="30000">
              <a:solidFill>
                <a:schemeClr val="bg1"/>
              </a:solidFill>
              <a:effectLst/>
              <a:latin typeface="+mn-lt"/>
              <a:ea typeface="+mn-ea"/>
              <a:cs typeface="+mn-cs"/>
            </a:rPr>
            <a:t>®</a:t>
          </a:r>
          <a:r>
            <a:rPr lang="en-US" sz="3200" b="1">
              <a:solidFill>
                <a:schemeClr val="bg1"/>
              </a:solidFill>
              <a:latin typeface="Tahoma" panose="020B0604030504040204" pitchFamily="34" charset="0"/>
              <a:ea typeface="Tahoma" panose="020B0604030504040204" pitchFamily="34" charset="0"/>
              <a:cs typeface="Tahoma" panose="020B0604030504040204" pitchFamily="34" charset="0"/>
            </a:rPr>
            <a:t> </a:t>
          </a:r>
          <a:r>
            <a:rPr lang="en-US" sz="1600" b="1">
              <a:solidFill>
                <a:schemeClr val="bg1"/>
              </a:solidFill>
              <a:latin typeface="Tahoma" panose="020B0604030504040204" pitchFamily="34" charset="0"/>
              <a:ea typeface="Tahoma" panose="020B0604030504040204" pitchFamily="34" charset="0"/>
              <a:cs typeface="Tahoma" panose="020B0604030504040204" pitchFamily="34" charset="0"/>
            </a:rPr>
            <a:t>Certified Connected Thermostats</a:t>
          </a:r>
        </a:p>
      </xdr:txBody>
    </xdr:sp>
    <xdr:clientData/>
  </xdr:twoCellAnchor>
  <xdr:twoCellAnchor>
    <xdr:from>
      <xdr:col>9</xdr:col>
      <xdr:colOff>504824</xdr:colOff>
      <xdr:row>0</xdr:row>
      <xdr:rowOff>161926</xdr:rowOff>
    </xdr:from>
    <xdr:to>
      <xdr:col>15</xdr:col>
      <xdr:colOff>466726</xdr:colOff>
      <xdr:row>1</xdr:row>
      <xdr:rowOff>257176</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5D6ED712-2732-44AA-92E4-1E059EA35451}"/>
            </a:ext>
          </a:extLst>
        </xdr:cNvPr>
        <xdr:cNvSpPr/>
      </xdr:nvSpPr>
      <xdr:spPr>
        <a:xfrm>
          <a:off x="7486649" y="161926"/>
          <a:ext cx="2400302" cy="285750"/>
        </a:xfrm>
        <a:prstGeom prst="roundRect">
          <a:avLst>
            <a:gd name="adj" fmla="val 29570"/>
          </a:avLst>
        </a:prstGeom>
        <a:solidFill>
          <a:schemeClr val="bg2">
            <a:lumMod val="2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371474</xdr:colOff>
      <xdr:row>0</xdr:row>
      <xdr:rowOff>158916</xdr:rowOff>
    </xdr:from>
    <xdr:to>
      <xdr:col>15</xdr:col>
      <xdr:colOff>571499</xdr:colOff>
      <xdr:row>1</xdr:row>
      <xdr:rowOff>209549</xdr:rowOff>
    </xdr:to>
    <xdr:sp macro="" textlink="">
      <xdr:nvSpPr>
        <xdr:cNvPr id="6" name="TextBox 5">
          <a:hlinkClick xmlns:r="http://schemas.openxmlformats.org/officeDocument/2006/relationships" r:id="rId1"/>
          <a:extLst>
            <a:ext uri="{FF2B5EF4-FFF2-40B4-BE49-F238E27FC236}">
              <a16:creationId xmlns:a16="http://schemas.microsoft.com/office/drawing/2014/main" id="{9DC3A483-BD2D-4742-871C-2B933C66A1A1}"/>
            </a:ext>
          </a:extLst>
        </xdr:cNvPr>
        <xdr:cNvSpPr txBox="1"/>
      </xdr:nvSpPr>
      <xdr:spPr>
        <a:xfrm>
          <a:off x="7353299" y="158916"/>
          <a:ext cx="2638425" cy="2411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rPr>
            <a:t> ← </a:t>
          </a:r>
          <a:r>
            <a:rPr lang="en-US" sz="1300" b="1">
              <a:solidFill>
                <a:schemeClr val="bg1"/>
              </a:solidFill>
            </a:rPr>
            <a:t>Return to Project Summary</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209550</xdr:colOff>
      <xdr:row>0</xdr:row>
      <xdr:rowOff>180976</xdr:rowOff>
    </xdr:from>
    <xdr:to>
      <xdr:col>6</xdr:col>
      <xdr:colOff>9526</xdr:colOff>
      <xdr:row>1</xdr:row>
      <xdr:rowOff>685800</xdr:rowOff>
    </xdr:to>
    <xdr:sp macro="" textlink="">
      <xdr:nvSpPr>
        <xdr:cNvPr id="3" name="Rectangle: Top Corners Rounded 2">
          <a:extLst>
            <a:ext uri="{FF2B5EF4-FFF2-40B4-BE49-F238E27FC236}">
              <a16:creationId xmlns:a16="http://schemas.microsoft.com/office/drawing/2014/main" id="{C93BD0EC-6958-4C2E-B936-946716761B60}"/>
            </a:ext>
          </a:extLst>
        </xdr:cNvPr>
        <xdr:cNvSpPr/>
      </xdr:nvSpPr>
      <xdr:spPr>
        <a:xfrm>
          <a:off x="209550" y="180976"/>
          <a:ext cx="5924551" cy="790574"/>
        </a:xfrm>
        <a:prstGeom prst="round2SameRect">
          <a:avLst>
            <a:gd name="adj1" fmla="val 37821"/>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latin typeface="Tahoma" panose="020B0604030504040204" pitchFamily="34" charset="0"/>
              <a:ea typeface="Tahoma" panose="020B0604030504040204" pitchFamily="34" charset="0"/>
              <a:cs typeface="Tahoma" panose="020B0604030504040204" pitchFamily="34" charset="0"/>
            </a:rPr>
            <a:t>Project Estimated Summary</a:t>
          </a:r>
        </a:p>
      </xdr:txBody>
    </xdr:sp>
    <xdr:clientData/>
  </xdr:twoCellAnchor>
  <xdr:twoCellAnchor>
    <xdr:from>
      <xdr:col>0</xdr:col>
      <xdr:colOff>210206</xdr:colOff>
      <xdr:row>25</xdr:row>
      <xdr:rowOff>248964</xdr:rowOff>
    </xdr:from>
    <xdr:to>
      <xdr:col>6</xdr:col>
      <xdr:colOff>10182</xdr:colOff>
      <xdr:row>27</xdr:row>
      <xdr:rowOff>37443</xdr:rowOff>
    </xdr:to>
    <xdr:sp macro="" textlink="">
      <xdr:nvSpPr>
        <xdr:cNvPr id="5" name="Rectangle: Top Corners Rounded 4">
          <a:extLst>
            <a:ext uri="{FF2B5EF4-FFF2-40B4-BE49-F238E27FC236}">
              <a16:creationId xmlns:a16="http://schemas.microsoft.com/office/drawing/2014/main" id="{1FABFEBB-8DBE-4E69-92C2-0235C70E8EF8}"/>
            </a:ext>
          </a:extLst>
        </xdr:cNvPr>
        <xdr:cNvSpPr/>
      </xdr:nvSpPr>
      <xdr:spPr>
        <a:xfrm rot="10800000">
          <a:off x="210206" y="6252998"/>
          <a:ext cx="6053631" cy="287721"/>
        </a:xfrm>
        <a:prstGeom prst="round2SameRect">
          <a:avLst>
            <a:gd name="adj1" fmla="val 37821"/>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000" b="1">
            <a:latin typeface="Tahoma" panose="020B0604030504040204" pitchFamily="34" charset="0"/>
            <a:ea typeface="Tahoma" panose="020B0604030504040204" pitchFamily="34" charset="0"/>
            <a:cs typeface="Tahoma" panose="020B060403050404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95249</xdr:colOff>
      <xdr:row>0</xdr:row>
      <xdr:rowOff>85726</xdr:rowOff>
    </xdr:from>
    <xdr:to>
      <xdr:col>34</xdr:col>
      <xdr:colOff>0</xdr:colOff>
      <xdr:row>2</xdr:row>
      <xdr:rowOff>161926</xdr:rowOff>
    </xdr:to>
    <xdr:sp macro="" textlink="">
      <xdr:nvSpPr>
        <xdr:cNvPr id="5" name="Rectangle: Top Corners Rounded 4">
          <a:extLst>
            <a:ext uri="{FF2B5EF4-FFF2-40B4-BE49-F238E27FC236}">
              <a16:creationId xmlns:a16="http://schemas.microsoft.com/office/drawing/2014/main" id="{A6F8D8C9-891B-4ADB-B16F-68677BB4A3A0}"/>
            </a:ext>
          </a:extLst>
        </xdr:cNvPr>
        <xdr:cNvSpPr/>
      </xdr:nvSpPr>
      <xdr:spPr>
        <a:xfrm>
          <a:off x="95249" y="85726"/>
          <a:ext cx="34728151" cy="819150"/>
        </a:xfrm>
        <a:prstGeom prst="round2SameRect">
          <a:avLst>
            <a:gd name="adj1" fmla="val 37821"/>
            <a:gd name="adj2" fmla="val 0"/>
          </a:avLst>
        </a:prstGeom>
        <a:solidFill>
          <a:schemeClr val="bg2">
            <a:lumMod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209549</xdr:colOff>
      <xdr:row>2</xdr:row>
      <xdr:rowOff>38100</xdr:rowOff>
    </xdr:from>
    <xdr:to>
      <xdr:col>8</xdr:col>
      <xdr:colOff>1495424</xdr:colOff>
      <xdr:row>4</xdr:row>
      <xdr:rowOff>57150</xdr:rowOff>
    </xdr:to>
    <xdr:sp macro="" textlink="">
      <xdr:nvSpPr>
        <xdr:cNvPr id="2" name="TextBox 1">
          <a:extLst>
            <a:ext uri="{FF2B5EF4-FFF2-40B4-BE49-F238E27FC236}">
              <a16:creationId xmlns:a16="http://schemas.microsoft.com/office/drawing/2014/main" id="{EB3B8F05-92A5-447A-8A34-57E90B6B978F}"/>
            </a:ext>
          </a:extLst>
        </xdr:cNvPr>
        <xdr:cNvSpPr txBox="1"/>
      </xdr:nvSpPr>
      <xdr:spPr>
        <a:xfrm>
          <a:off x="304799" y="781050"/>
          <a:ext cx="11229975"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This calculator may be used to estimate electrical energy savings for single chiller systems in comfort cooling applications only.  </a:t>
          </a:r>
        </a:p>
        <a:p>
          <a:r>
            <a:rPr lang="en-US" sz="1100">
              <a:solidFill>
                <a:schemeClr val="bg1"/>
              </a:solidFill>
            </a:rPr>
            <a:t>Air-cooled chillers, chillers used for process cooling, VFD retrofits of existing chillers low temperature applications where the leaving water temperature is less than 40°F, or multiple chiller systems are not eligible for incentives under the HVAC program, and may be eligible for incentives through the Custom Equipment program.  </a:t>
          </a:r>
        </a:p>
      </xdr:txBody>
    </xdr:sp>
    <xdr:clientData/>
  </xdr:twoCellAnchor>
  <xdr:twoCellAnchor>
    <xdr:from>
      <xdr:col>1</xdr:col>
      <xdr:colOff>219074</xdr:colOff>
      <xdr:row>0</xdr:row>
      <xdr:rowOff>276225</xdr:rowOff>
    </xdr:from>
    <xdr:to>
      <xdr:col>13</xdr:col>
      <xdr:colOff>66675</xdr:colOff>
      <xdr:row>2</xdr:row>
      <xdr:rowOff>171449</xdr:rowOff>
    </xdr:to>
    <xdr:sp macro="" textlink="">
      <xdr:nvSpPr>
        <xdr:cNvPr id="3" name="TextBox 2">
          <a:extLst>
            <a:ext uri="{FF2B5EF4-FFF2-40B4-BE49-F238E27FC236}">
              <a16:creationId xmlns:a16="http://schemas.microsoft.com/office/drawing/2014/main" id="{862250E6-B5AD-45CE-888C-ADF529A999AB}"/>
            </a:ext>
          </a:extLst>
        </xdr:cNvPr>
        <xdr:cNvSpPr txBox="1"/>
      </xdr:nvSpPr>
      <xdr:spPr>
        <a:xfrm>
          <a:off x="314324" y="276225"/>
          <a:ext cx="15706726" cy="63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latin typeface="Tahoma" panose="020B0604030504040204" pitchFamily="34" charset="0"/>
              <a:ea typeface="Tahoma" panose="020B0604030504040204" pitchFamily="34" charset="0"/>
              <a:cs typeface="Tahoma" panose="020B0604030504040204" pitchFamily="34" charset="0"/>
            </a:rPr>
            <a:t>Air Cooled Electric Chillers </a:t>
          </a:r>
        </a:p>
        <a:p>
          <a:r>
            <a:rPr lang="en-US" sz="1100" b="1">
              <a:solidFill>
                <a:schemeClr val="bg1"/>
              </a:solidFill>
              <a:latin typeface="Tahoma" panose="020B0604030504040204" pitchFamily="34" charset="0"/>
              <a:ea typeface="Tahoma" panose="020B0604030504040204" pitchFamily="34" charset="0"/>
              <a:cs typeface="Tahoma" panose="020B0604030504040204" pitchFamily="34" charset="0"/>
            </a:rPr>
            <a:t>(Custom Measure - Enter savings manually into energyOrbit as a custom HVAC measure)</a:t>
          </a:r>
        </a:p>
      </xdr:txBody>
    </xdr:sp>
    <xdr:clientData/>
  </xdr:twoCellAnchor>
  <xdr:twoCellAnchor>
    <xdr:from>
      <xdr:col>7</xdr:col>
      <xdr:colOff>333373</xdr:colOff>
      <xdr:row>0</xdr:row>
      <xdr:rowOff>257175</xdr:rowOff>
    </xdr:from>
    <xdr:to>
      <xdr:col>8</xdr:col>
      <xdr:colOff>1000123</xdr:colOff>
      <xdr:row>1</xdr:row>
      <xdr:rowOff>238126</xdr:rowOff>
    </xdr:to>
    <xdr:sp macro="" textlink="">
      <xdr:nvSpPr>
        <xdr:cNvPr id="6" name="Rectangle: Rounded Corners 5">
          <a:extLst>
            <a:ext uri="{FF2B5EF4-FFF2-40B4-BE49-F238E27FC236}">
              <a16:creationId xmlns:a16="http://schemas.microsoft.com/office/drawing/2014/main" id="{9C382F58-F582-4CB2-9C58-F8FF60BBE174}"/>
            </a:ext>
          </a:extLst>
        </xdr:cNvPr>
        <xdr:cNvSpPr/>
      </xdr:nvSpPr>
      <xdr:spPr>
        <a:xfrm>
          <a:off x="8877298" y="257175"/>
          <a:ext cx="2162175" cy="352426"/>
        </a:xfrm>
        <a:prstGeom prst="roundRect">
          <a:avLst>
            <a:gd name="adj" fmla="val 29570"/>
          </a:avLst>
        </a:prstGeom>
        <a:solidFill>
          <a:schemeClr val="bg2">
            <a:lumMod val="2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266699</xdr:colOff>
      <xdr:row>0</xdr:row>
      <xdr:rowOff>295276</xdr:rowOff>
    </xdr:from>
    <xdr:to>
      <xdr:col>8</xdr:col>
      <xdr:colOff>1019174</xdr:colOff>
      <xdr:row>1</xdr:row>
      <xdr:rowOff>190501</xdr:rowOff>
    </xdr:to>
    <xdr:sp macro="" textlink="">
      <xdr:nvSpPr>
        <xdr:cNvPr id="7" name="TextBox 6">
          <a:extLst>
            <a:ext uri="{FF2B5EF4-FFF2-40B4-BE49-F238E27FC236}">
              <a16:creationId xmlns:a16="http://schemas.microsoft.com/office/drawing/2014/main" id="{958D6197-59A2-49CA-B60D-398C57B1D5A8}"/>
            </a:ext>
          </a:extLst>
        </xdr:cNvPr>
        <xdr:cNvSpPr txBox="1"/>
      </xdr:nvSpPr>
      <xdr:spPr>
        <a:xfrm>
          <a:off x="8810624" y="295276"/>
          <a:ext cx="22479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rPr>
            <a:t> ← </a:t>
          </a:r>
          <a:r>
            <a:rPr lang="en-US" sz="1300" b="1">
              <a:solidFill>
                <a:schemeClr val="bg1"/>
              </a:solidFill>
            </a:rPr>
            <a:t>Return to Project Summary</a:t>
          </a:r>
        </a:p>
      </xdr:txBody>
    </xdr:sp>
    <xdr:clientData/>
  </xdr:twoCellAnchor>
  <xdr:twoCellAnchor editAs="oneCell">
    <xdr:from>
      <xdr:col>2</xdr:col>
      <xdr:colOff>0</xdr:colOff>
      <xdr:row>27</xdr:row>
      <xdr:rowOff>47625</xdr:rowOff>
    </xdr:from>
    <xdr:to>
      <xdr:col>12</xdr:col>
      <xdr:colOff>9525</xdr:colOff>
      <xdr:row>33</xdr:row>
      <xdr:rowOff>57150</xdr:rowOff>
    </xdr:to>
    <xdr:pic>
      <xdr:nvPicPr>
        <xdr:cNvPr id="9" name="Picture 8">
          <a:extLst>
            <a:ext uri="{FF2B5EF4-FFF2-40B4-BE49-F238E27FC236}">
              <a16:creationId xmlns:a16="http://schemas.microsoft.com/office/drawing/2014/main" id="{A7B811E3-42FA-447C-93DB-1DBC2C6323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00625"/>
          <a:ext cx="1435417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85726</xdr:rowOff>
    </xdr:from>
    <xdr:to>
      <xdr:col>38</xdr:col>
      <xdr:colOff>1</xdr:colOff>
      <xdr:row>2</xdr:row>
      <xdr:rowOff>1</xdr:rowOff>
    </xdr:to>
    <xdr:sp macro="" textlink="">
      <xdr:nvSpPr>
        <xdr:cNvPr id="2" name="Rectangle: Top Corners Rounded 1">
          <a:extLst>
            <a:ext uri="{FF2B5EF4-FFF2-40B4-BE49-F238E27FC236}">
              <a16:creationId xmlns:a16="http://schemas.microsoft.com/office/drawing/2014/main" id="{6D42949D-B5BA-4875-9622-5E63C97EE757}"/>
            </a:ext>
          </a:extLst>
        </xdr:cNvPr>
        <xdr:cNvSpPr/>
      </xdr:nvSpPr>
      <xdr:spPr>
        <a:xfrm>
          <a:off x="95250" y="85726"/>
          <a:ext cx="38223826" cy="676275"/>
        </a:xfrm>
        <a:prstGeom prst="round2SameRect">
          <a:avLst>
            <a:gd name="adj1" fmla="val 37821"/>
            <a:gd name="adj2" fmla="val 0"/>
          </a:avLst>
        </a:prstGeom>
        <a:solidFill>
          <a:schemeClr val="bg2">
            <a:lumMod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57150</xdr:colOff>
      <xdr:row>0</xdr:row>
      <xdr:rowOff>314325</xdr:rowOff>
    </xdr:from>
    <xdr:to>
      <xdr:col>4</xdr:col>
      <xdr:colOff>742950</xdr:colOff>
      <xdr:row>1</xdr:row>
      <xdr:rowOff>333375</xdr:rowOff>
    </xdr:to>
    <xdr:sp macro="" textlink="">
      <xdr:nvSpPr>
        <xdr:cNvPr id="3" name="TextBox 2">
          <a:extLst>
            <a:ext uri="{FF2B5EF4-FFF2-40B4-BE49-F238E27FC236}">
              <a16:creationId xmlns:a16="http://schemas.microsoft.com/office/drawing/2014/main" id="{C9B39ACC-6E6A-44B3-8C43-EB43401BB7DF}"/>
            </a:ext>
          </a:extLst>
        </xdr:cNvPr>
        <xdr:cNvSpPr txBox="1"/>
      </xdr:nvSpPr>
      <xdr:spPr>
        <a:xfrm>
          <a:off x="152400" y="314325"/>
          <a:ext cx="431482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chemeClr val="bg1"/>
              </a:solidFill>
              <a:latin typeface="Tahoma" panose="020B0604030504040204" pitchFamily="34" charset="0"/>
              <a:ea typeface="Tahoma" panose="020B0604030504040204" pitchFamily="34" charset="0"/>
              <a:cs typeface="Tahoma" panose="020B0604030504040204" pitchFamily="34" charset="0"/>
            </a:rPr>
            <a:t>  Water Cooled Electric Chillers</a:t>
          </a:r>
        </a:p>
      </xdr:txBody>
    </xdr:sp>
    <xdr:clientData/>
  </xdr:twoCellAnchor>
  <xdr:twoCellAnchor>
    <xdr:from>
      <xdr:col>1</xdr:col>
      <xdr:colOff>190498</xdr:colOff>
      <xdr:row>1</xdr:row>
      <xdr:rowOff>266700</xdr:rowOff>
    </xdr:from>
    <xdr:to>
      <xdr:col>10</xdr:col>
      <xdr:colOff>200024</xdr:colOff>
      <xdr:row>3</xdr:row>
      <xdr:rowOff>352425</xdr:rowOff>
    </xdr:to>
    <xdr:sp macro="" textlink="">
      <xdr:nvSpPr>
        <xdr:cNvPr id="5" name="TextBox 4">
          <a:extLst>
            <a:ext uri="{FF2B5EF4-FFF2-40B4-BE49-F238E27FC236}">
              <a16:creationId xmlns:a16="http://schemas.microsoft.com/office/drawing/2014/main" id="{2608175A-38AD-4DBD-88C1-0F3B92BD37EF}"/>
            </a:ext>
          </a:extLst>
        </xdr:cNvPr>
        <xdr:cNvSpPr txBox="1"/>
      </xdr:nvSpPr>
      <xdr:spPr>
        <a:xfrm>
          <a:off x="285748" y="638175"/>
          <a:ext cx="10972801"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solidFill>
                <a:schemeClr val="bg1"/>
              </a:solidFill>
            </a:rPr>
            <a:t>Eligible water cooled electric chillers must meet or exceed total system cooling efficiency requirements as defined on the website at www.energysavepa-business.com.  This calculator may be used to estimate electrical energy savings for single chiller systems in comfort cooling applications only.</a:t>
          </a:r>
          <a:r>
            <a:rPr lang="en-US" sz="1100" baseline="0">
              <a:solidFill>
                <a:schemeClr val="bg1"/>
              </a:solidFill>
            </a:rPr>
            <a:t>  Multi-chiller systems, a</a:t>
          </a:r>
          <a:r>
            <a:rPr lang="en-US" sz="1100">
              <a:solidFill>
                <a:schemeClr val="bg1"/>
              </a:solidFill>
            </a:rPr>
            <a:t>ir-cooled chillers, chillers used for process cooling, VFD retrofits of existing chillers, or low temperature applications where the leaving water temperature is less than 40°F, are not eligible for incentives under the HVAC program, and may be eligible for incentives through the Custom Equipment program.  </a:t>
          </a:r>
          <a:r>
            <a:rPr lang="en-US" sz="1100" b="0" i="0">
              <a:solidFill>
                <a:schemeClr val="bg1"/>
              </a:solidFill>
              <a:effectLst/>
              <a:latin typeface="+mn-lt"/>
              <a:ea typeface="+mn-ea"/>
              <a:cs typeface="+mn-cs"/>
            </a:rPr>
            <a:t>Cooling capacities referenced below are Air Conditioning and Refrigeration Institute (ARI) net capacities, not gross capacities.</a:t>
          </a:r>
          <a:endParaRPr lang="en-US" sz="1100">
            <a:solidFill>
              <a:schemeClr val="bg1"/>
            </a:solidFill>
          </a:endParaRPr>
        </a:p>
      </xdr:txBody>
    </xdr:sp>
    <xdr:clientData/>
  </xdr:twoCellAnchor>
  <xdr:twoCellAnchor>
    <xdr:from>
      <xdr:col>7</xdr:col>
      <xdr:colOff>819149</xdr:colOff>
      <xdr:row>0</xdr:row>
      <xdr:rowOff>238124</xdr:rowOff>
    </xdr:from>
    <xdr:to>
      <xdr:col>9</xdr:col>
      <xdr:colOff>981074</xdr:colOff>
      <xdr:row>1</xdr:row>
      <xdr:rowOff>219075</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8A7CBF0E-F3DF-4625-8E5E-3AE175B8C6F5}"/>
            </a:ext>
          </a:extLst>
        </xdr:cNvPr>
        <xdr:cNvSpPr/>
      </xdr:nvSpPr>
      <xdr:spPr>
        <a:xfrm>
          <a:off x="8658224" y="238124"/>
          <a:ext cx="2162175" cy="352426"/>
        </a:xfrm>
        <a:prstGeom prst="roundRect">
          <a:avLst>
            <a:gd name="adj" fmla="val 29570"/>
          </a:avLst>
        </a:prstGeom>
        <a:solidFill>
          <a:schemeClr val="bg2">
            <a:lumMod val="2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752475</xdr:colOff>
      <xdr:row>0</xdr:row>
      <xdr:rowOff>276225</xdr:rowOff>
    </xdr:from>
    <xdr:to>
      <xdr:col>10</xdr:col>
      <xdr:colOff>0</xdr:colOff>
      <xdr:row>1</xdr:row>
      <xdr:rowOff>171450</xdr:rowOff>
    </xdr:to>
    <xdr:sp macro="" textlink="">
      <xdr:nvSpPr>
        <xdr:cNvPr id="7" name="TextBox 6">
          <a:hlinkClick xmlns:r="http://schemas.openxmlformats.org/officeDocument/2006/relationships" r:id="rId1"/>
          <a:extLst>
            <a:ext uri="{FF2B5EF4-FFF2-40B4-BE49-F238E27FC236}">
              <a16:creationId xmlns:a16="http://schemas.microsoft.com/office/drawing/2014/main" id="{526A8165-9A5F-474A-943B-6B89C77BF453}"/>
            </a:ext>
          </a:extLst>
        </xdr:cNvPr>
        <xdr:cNvSpPr txBox="1"/>
      </xdr:nvSpPr>
      <xdr:spPr>
        <a:xfrm>
          <a:off x="8591550" y="276225"/>
          <a:ext cx="22479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rPr>
            <a:t> ← </a:t>
          </a:r>
          <a:r>
            <a:rPr lang="en-US" sz="1300" b="1">
              <a:solidFill>
                <a:schemeClr val="bg1"/>
              </a:solidFill>
            </a:rPr>
            <a:t>Return to Project Summary</a:t>
          </a:r>
        </a:p>
      </xdr:txBody>
    </xdr:sp>
    <xdr:clientData/>
  </xdr:twoCellAnchor>
  <xdr:twoCellAnchor editAs="oneCell">
    <xdr:from>
      <xdr:col>2</xdr:col>
      <xdr:colOff>19050</xdr:colOff>
      <xdr:row>37</xdr:row>
      <xdr:rowOff>95250</xdr:rowOff>
    </xdr:from>
    <xdr:to>
      <xdr:col>8</xdr:col>
      <xdr:colOff>400742</xdr:colOff>
      <xdr:row>48</xdr:row>
      <xdr:rowOff>114300</xdr:rowOff>
    </xdr:to>
    <xdr:pic>
      <xdr:nvPicPr>
        <xdr:cNvPr id="10" name="Picture 9">
          <a:extLst>
            <a:ext uri="{FF2B5EF4-FFF2-40B4-BE49-F238E27FC236}">
              <a16:creationId xmlns:a16="http://schemas.microsoft.com/office/drawing/2014/main" id="{6604B77D-F5AA-49EE-A1C2-934E6A431B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5210175"/>
          <a:ext cx="7439025" cy="211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1093149</xdr:colOff>
      <xdr:row>18</xdr:row>
      <xdr:rowOff>227982</xdr:rowOff>
    </xdr:from>
    <xdr:to>
      <xdr:col>20</xdr:col>
      <xdr:colOff>703490</xdr:colOff>
      <xdr:row>53</xdr:row>
      <xdr:rowOff>25359</xdr:rowOff>
    </xdr:to>
    <xdr:sp macro="" textlink="">
      <xdr:nvSpPr>
        <xdr:cNvPr id="4" name="Rectangle 3">
          <a:extLst>
            <a:ext uri="{FF2B5EF4-FFF2-40B4-BE49-F238E27FC236}">
              <a16:creationId xmlns:a16="http://schemas.microsoft.com/office/drawing/2014/main" id="{559D89AD-06D7-44A9-BBE1-C7728BBACBFC}"/>
            </a:ext>
          </a:extLst>
        </xdr:cNvPr>
        <xdr:cNvSpPr/>
      </xdr:nvSpPr>
      <xdr:spPr>
        <a:xfrm>
          <a:off x="1588449" y="4542807"/>
          <a:ext cx="18993716" cy="656012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400"/>
            <a:t>custom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95250</xdr:rowOff>
    </xdr:from>
    <xdr:to>
      <xdr:col>48</xdr:col>
      <xdr:colOff>0</xdr:colOff>
      <xdr:row>2</xdr:row>
      <xdr:rowOff>9525</xdr:rowOff>
    </xdr:to>
    <xdr:sp macro="" textlink="">
      <xdr:nvSpPr>
        <xdr:cNvPr id="4" name="Rectangle: Top Corners Rounded 3">
          <a:extLst>
            <a:ext uri="{FF2B5EF4-FFF2-40B4-BE49-F238E27FC236}">
              <a16:creationId xmlns:a16="http://schemas.microsoft.com/office/drawing/2014/main" id="{45955DCB-A457-451D-9FA8-AE5632A23816}"/>
            </a:ext>
          </a:extLst>
        </xdr:cNvPr>
        <xdr:cNvSpPr/>
      </xdr:nvSpPr>
      <xdr:spPr>
        <a:xfrm>
          <a:off x="95250" y="95250"/>
          <a:ext cx="45567600" cy="657225"/>
        </a:xfrm>
        <a:prstGeom prst="round2SameRect">
          <a:avLst>
            <a:gd name="adj1" fmla="val 37821"/>
            <a:gd name="adj2" fmla="val 0"/>
          </a:avLst>
        </a:prstGeom>
        <a:solidFill>
          <a:schemeClr val="bg2">
            <a:lumMod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95249</xdr:colOff>
      <xdr:row>0</xdr:row>
      <xdr:rowOff>276224</xdr:rowOff>
    </xdr:from>
    <xdr:to>
      <xdr:col>4</xdr:col>
      <xdr:colOff>1057275</xdr:colOff>
      <xdr:row>1</xdr:row>
      <xdr:rowOff>295274</xdr:rowOff>
    </xdr:to>
    <xdr:sp macro="" textlink="">
      <xdr:nvSpPr>
        <xdr:cNvPr id="5" name="TextBox 4">
          <a:extLst>
            <a:ext uri="{FF2B5EF4-FFF2-40B4-BE49-F238E27FC236}">
              <a16:creationId xmlns:a16="http://schemas.microsoft.com/office/drawing/2014/main" id="{0BB6B9B6-985C-4727-B788-9C478C579631}"/>
            </a:ext>
          </a:extLst>
        </xdr:cNvPr>
        <xdr:cNvSpPr txBox="1"/>
      </xdr:nvSpPr>
      <xdr:spPr>
        <a:xfrm>
          <a:off x="190499" y="276224"/>
          <a:ext cx="4371976"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chemeClr val="bg1"/>
              </a:solidFill>
              <a:latin typeface="Tahoma" panose="020B0604030504040204" pitchFamily="34" charset="0"/>
              <a:ea typeface="Tahoma" panose="020B0604030504040204" pitchFamily="34" charset="0"/>
              <a:cs typeface="Tahoma" panose="020B0604030504040204" pitchFamily="34" charset="0"/>
            </a:rPr>
            <a:t>  Split and Packaged HVAC Systems</a:t>
          </a:r>
        </a:p>
      </xdr:txBody>
    </xdr:sp>
    <xdr:clientData/>
  </xdr:twoCellAnchor>
  <xdr:twoCellAnchor>
    <xdr:from>
      <xdr:col>0</xdr:col>
      <xdr:colOff>66675</xdr:colOff>
      <xdr:row>1</xdr:row>
      <xdr:rowOff>219076</xdr:rowOff>
    </xdr:from>
    <xdr:to>
      <xdr:col>9</xdr:col>
      <xdr:colOff>762000</xdr:colOff>
      <xdr:row>3</xdr:row>
      <xdr:rowOff>219075</xdr:rowOff>
    </xdr:to>
    <xdr:sp macro="" textlink="">
      <xdr:nvSpPr>
        <xdr:cNvPr id="11" name="TextBox 5">
          <a:extLst>
            <a:ext uri="{FF2B5EF4-FFF2-40B4-BE49-F238E27FC236}">
              <a16:creationId xmlns:a16="http://schemas.microsoft.com/office/drawing/2014/main" id="{942FFECE-BB75-4E4C-A7B6-B1266D0D6B08}"/>
            </a:ext>
            <a:ext uri="{147F2762-F138-4A5C-976F-8EAC2B608ADB}">
              <a16:predDERef xmlns:a16="http://schemas.microsoft.com/office/drawing/2014/main" pred="{0BB6B9B6-985C-4727-B788-9C478C579631}"/>
            </a:ext>
          </a:extLst>
        </xdr:cNvPr>
        <xdr:cNvSpPr txBox="1"/>
      </xdr:nvSpPr>
      <xdr:spPr>
        <a:xfrm>
          <a:off x="66675" y="590551"/>
          <a:ext cx="12782550" cy="742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n-US" sz="1100">
              <a:solidFill>
                <a:schemeClr val="bg1"/>
              </a:solidFill>
              <a:latin typeface="+mn-lt"/>
              <a:ea typeface="+mn-lt"/>
              <a:cs typeface="+mn-lt"/>
            </a:rPr>
            <a:t>Eligible packaged or split HVAC systems must meet or exceed both full and part load (if applicable) cooling efficiency requirements as defined below.  HVAC systems must be used for comfort cooling only to qualify.  Qualifying split systems must have both a new condenser and a new coil that meets AHRI specifications and where the matched system performance (condenser and coil) meets or exceeds the minimum requirements. </a:t>
          </a:r>
          <a:r>
            <a:rPr lang="en-US" sz="1100" b="0" i="0">
              <a:solidFill>
                <a:schemeClr val="bg1"/>
              </a:solidFill>
              <a:latin typeface="+mn-lt"/>
              <a:ea typeface="+mn-lt"/>
              <a:cs typeface="+mn-lt"/>
            </a:rPr>
            <a:t>Cooling capacities referenced below are </a:t>
          </a:r>
          <a:r>
            <a:rPr lang="en-US" sz="1100">
              <a:solidFill>
                <a:schemeClr val="bg1"/>
              </a:solidFill>
              <a:latin typeface="+mn-lt"/>
              <a:ea typeface="+mn-lt"/>
              <a:cs typeface="+mn-lt"/>
            </a:rPr>
            <a:t>Air Conditioning, Heating, and Refrigeration Institute (AHRI) rated capacities</a:t>
          </a:r>
          <a:r>
            <a:rPr lang="en-US" sz="1100" b="0" i="0">
              <a:solidFill>
                <a:schemeClr val="bg1"/>
              </a:solidFill>
              <a:latin typeface="+mn-lt"/>
              <a:ea typeface="+mn-lt"/>
              <a:cs typeface="+mn-lt"/>
            </a:rPr>
            <a:t>.</a:t>
          </a:r>
        </a:p>
      </xdr:txBody>
    </xdr:sp>
    <xdr:clientData/>
  </xdr:twoCellAnchor>
  <xdr:twoCellAnchor>
    <xdr:from>
      <xdr:col>7</xdr:col>
      <xdr:colOff>666749</xdr:colOff>
      <xdr:row>0</xdr:row>
      <xdr:rowOff>247650</xdr:rowOff>
    </xdr:from>
    <xdr:to>
      <xdr:col>9</xdr:col>
      <xdr:colOff>638175</xdr:colOff>
      <xdr:row>1</xdr:row>
      <xdr:rowOff>228601</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64B59C60-2239-4AB3-9049-BA6A7B10A325}"/>
            </a:ext>
          </a:extLst>
        </xdr:cNvPr>
        <xdr:cNvSpPr/>
      </xdr:nvSpPr>
      <xdr:spPr>
        <a:xfrm>
          <a:off x="8696324" y="247650"/>
          <a:ext cx="2314576" cy="352426"/>
        </a:xfrm>
        <a:prstGeom prst="roundRect">
          <a:avLst>
            <a:gd name="adj" fmla="val 29570"/>
          </a:avLst>
        </a:prstGeom>
        <a:solidFill>
          <a:schemeClr val="bg2">
            <a:lumMod val="2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609600</xdr:colOff>
      <xdr:row>0</xdr:row>
      <xdr:rowOff>285751</xdr:rowOff>
    </xdr:from>
    <xdr:to>
      <xdr:col>9</xdr:col>
      <xdr:colOff>647700</xdr:colOff>
      <xdr:row>1</xdr:row>
      <xdr:rowOff>180976</xdr:rowOff>
    </xdr:to>
    <xdr:sp macro="" textlink="">
      <xdr:nvSpPr>
        <xdr:cNvPr id="9" name="TextBox 8">
          <a:hlinkClick xmlns:r="http://schemas.openxmlformats.org/officeDocument/2006/relationships" r:id="rId1"/>
          <a:extLst>
            <a:ext uri="{FF2B5EF4-FFF2-40B4-BE49-F238E27FC236}">
              <a16:creationId xmlns:a16="http://schemas.microsoft.com/office/drawing/2014/main" id="{16986E63-BF73-4FEA-B930-E8DB4F773A17}"/>
            </a:ext>
          </a:extLst>
        </xdr:cNvPr>
        <xdr:cNvSpPr txBox="1"/>
      </xdr:nvSpPr>
      <xdr:spPr>
        <a:xfrm>
          <a:off x="8639175" y="285751"/>
          <a:ext cx="23812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rPr>
            <a:t> ← </a:t>
          </a:r>
          <a:r>
            <a:rPr lang="en-US" sz="1300" b="1">
              <a:solidFill>
                <a:schemeClr val="bg1"/>
              </a:solidFill>
            </a:rPr>
            <a:t>Return to Project Summary</a:t>
          </a:r>
        </a:p>
      </xdr:txBody>
    </xdr:sp>
    <xdr:clientData/>
  </xdr:twoCellAnchor>
  <xdr:twoCellAnchor>
    <xdr:from>
      <xdr:col>18</xdr:col>
      <xdr:colOff>126542</xdr:colOff>
      <xdr:row>28</xdr:row>
      <xdr:rowOff>57501</xdr:rowOff>
    </xdr:from>
    <xdr:to>
      <xdr:col>23</xdr:col>
      <xdr:colOff>47768</xdr:colOff>
      <xdr:row>38</xdr:row>
      <xdr:rowOff>62274</xdr:rowOff>
    </xdr:to>
    <xdr:sp macro="" textlink="">
      <xdr:nvSpPr>
        <xdr:cNvPr id="2" name="TextBox 1">
          <a:extLst>
            <a:ext uri="{FF2B5EF4-FFF2-40B4-BE49-F238E27FC236}">
              <a16:creationId xmlns:a16="http://schemas.microsoft.com/office/drawing/2014/main" id="{B290C060-28C8-4CAC-829C-126BA7AEBD17}"/>
            </a:ext>
          </a:extLst>
        </xdr:cNvPr>
        <xdr:cNvSpPr txBox="1"/>
      </xdr:nvSpPr>
      <xdr:spPr>
        <a:xfrm>
          <a:off x="22000424" y="5761295"/>
          <a:ext cx="3193344" cy="179771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NOTE:</a:t>
          </a:r>
          <a:r>
            <a:rPr lang="en-US" sz="1800" baseline="0"/>
            <a:t> the efficiencies in this table are not valid for heat pump systems. IECC 2015 differentiates electric resistance and other heating sections, but calculator v4.4 does not. This has been adjusted in the present edit of the calculator to handle both electric/none heating sections, as well as gas sections.</a:t>
          </a:r>
          <a:endParaRPr lang="en-US" sz="18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349399</xdr:colOff>
      <xdr:row>0</xdr:row>
      <xdr:rowOff>51621</xdr:rowOff>
    </xdr:from>
    <xdr:to>
      <xdr:col>20</xdr:col>
      <xdr:colOff>285479</xdr:colOff>
      <xdr:row>26</xdr:row>
      <xdr:rowOff>4435</xdr:rowOff>
    </xdr:to>
    <xdr:pic>
      <xdr:nvPicPr>
        <xdr:cNvPr id="2" name="Picture 1">
          <a:extLst>
            <a:ext uri="{FF2B5EF4-FFF2-40B4-BE49-F238E27FC236}">
              <a16:creationId xmlns:a16="http://schemas.microsoft.com/office/drawing/2014/main" id="{F0242917-E1E1-4FFF-99D5-D6B2F538A90E}"/>
            </a:ext>
          </a:extLst>
        </xdr:cNvPr>
        <xdr:cNvPicPr>
          <a:picLocks noChangeAspect="1"/>
        </xdr:cNvPicPr>
      </xdr:nvPicPr>
      <xdr:blipFill>
        <a:blip xmlns:r="http://schemas.openxmlformats.org/officeDocument/2006/relationships" r:embed="rId1"/>
        <a:stretch>
          <a:fillRect/>
        </a:stretch>
      </xdr:blipFill>
      <xdr:spPr>
        <a:xfrm>
          <a:off x="349399" y="51621"/>
          <a:ext cx="12128080" cy="4896289"/>
        </a:xfrm>
        <a:prstGeom prst="rect">
          <a:avLst/>
        </a:prstGeom>
      </xdr:spPr>
    </xdr:pic>
    <xdr:clientData/>
  </xdr:twoCellAnchor>
  <xdr:twoCellAnchor editAs="oneCell">
    <xdr:from>
      <xdr:col>0</xdr:col>
      <xdr:colOff>285749</xdr:colOff>
      <xdr:row>61</xdr:row>
      <xdr:rowOff>81644</xdr:rowOff>
    </xdr:from>
    <xdr:to>
      <xdr:col>20</xdr:col>
      <xdr:colOff>231321</xdr:colOff>
      <xdr:row>67</xdr:row>
      <xdr:rowOff>88120</xdr:rowOff>
    </xdr:to>
    <xdr:pic>
      <xdr:nvPicPr>
        <xdr:cNvPr id="4" name="Picture 3">
          <a:extLst>
            <a:ext uri="{FF2B5EF4-FFF2-40B4-BE49-F238E27FC236}">
              <a16:creationId xmlns:a16="http://schemas.microsoft.com/office/drawing/2014/main" id="{C07F6DA3-8C4C-41B9-B2DC-52521547F3AF}"/>
            </a:ext>
          </a:extLst>
        </xdr:cNvPr>
        <xdr:cNvPicPr>
          <a:picLocks noChangeAspect="1"/>
        </xdr:cNvPicPr>
      </xdr:nvPicPr>
      <xdr:blipFill>
        <a:blip xmlns:r="http://schemas.openxmlformats.org/officeDocument/2006/relationships" r:embed="rId2"/>
        <a:stretch>
          <a:fillRect/>
        </a:stretch>
      </xdr:blipFill>
      <xdr:spPr>
        <a:xfrm>
          <a:off x="285749" y="11702144"/>
          <a:ext cx="12192001" cy="1149476"/>
        </a:xfrm>
        <a:prstGeom prst="rect">
          <a:avLst/>
        </a:prstGeom>
      </xdr:spPr>
    </xdr:pic>
    <xdr:clientData/>
  </xdr:twoCellAnchor>
  <xdr:twoCellAnchor editAs="oneCell">
    <xdr:from>
      <xdr:col>25</xdr:col>
      <xdr:colOff>146685</xdr:colOff>
      <xdr:row>0</xdr:row>
      <xdr:rowOff>0</xdr:rowOff>
    </xdr:from>
    <xdr:to>
      <xdr:col>46</xdr:col>
      <xdr:colOff>139160</xdr:colOff>
      <xdr:row>33</xdr:row>
      <xdr:rowOff>76200</xdr:rowOff>
    </xdr:to>
    <xdr:pic>
      <xdr:nvPicPr>
        <xdr:cNvPr id="5" name="Picture 4">
          <a:extLst>
            <a:ext uri="{FF2B5EF4-FFF2-40B4-BE49-F238E27FC236}">
              <a16:creationId xmlns:a16="http://schemas.microsoft.com/office/drawing/2014/main" id="{052841AA-B9A4-4168-8F0F-B6376340C166}"/>
            </a:ext>
          </a:extLst>
        </xdr:cNvPr>
        <xdr:cNvPicPr>
          <a:picLocks noChangeAspect="1"/>
        </xdr:cNvPicPr>
      </xdr:nvPicPr>
      <xdr:blipFill>
        <a:blip xmlns:r="http://schemas.openxmlformats.org/officeDocument/2006/relationships" r:embed="rId3"/>
        <a:stretch>
          <a:fillRect/>
        </a:stretch>
      </xdr:blipFill>
      <xdr:spPr>
        <a:xfrm>
          <a:off x="15386685" y="0"/>
          <a:ext cx="12794075" cy="6362700"/>
        </a:xfrm>
        <a:prstGeom prst="rect">
          <a:avLst/>
        </a:prstGeom>
      </xdr:spPr>
    </xdr:pic>
    <xdr:clientData/>
  </xdr:twoCellAnchor>
  <xdr:twoCellAnchor editAs="oneCell">
    <xdr:from>
      <xdr:col>25</xdr:col>
      <xdr:colOff>266701</xdr:colOff>
      <xdr:row>34</xdr:row>
      <xdr:rowOff>60960</xdr:rowOff>
    </xdr:from>
    <xdr:to>
      <xdr:col>46</xdr:col>
      <xdr:colOff>384195</xdr:colOff>
      <xdr:row>71</xdr:row>
      <xdr:rowOff>57150</xdr:rowOff>
    </xdr:to>
    <xdr:pic>
      <xdr:nvPicPr>
        <xdr:cNvPr id="6" name="Picture 5">
          <a:extLst>
            <a:ext uri="{FF2B5EF4-FFF2-40B4-BE49-F238E27FC236}">
              <a16:creationId xmlns:a16="http://schemas.microsoft.com/office/drawing/2014/main" id="{4EB9CE22-FC92-4FD7-8AEC-DF2B78082BBD}"/>
            </a:ext>
          </a:extLst>
        </xdr:cNvPr>
        <xdr:cNvPicPr>
          <a:picLocks noChangeAspect="1"/>
        </xdr:cNvPicPr>
      </xdr:nvPicPr>
      <xdr:blipFill>
        <a:blip xmlns:r="http://schemas.openxmlformats.org/officeDocument/2006/relationships" r:embed="rId4"/>
        <a:stretch>
          <a:fillRect/>
        </a:stretch>
      </xdr:blipFill>
      <xdr:spPr>
        <a:xfrm>
          <a:off x="15506701" y="6537960"/>
          <a:ext cx="12919094" cy="7044690"/>
        </a:xfrm>
        <a:prstGeom prst="rect">
          <a:avLst/>
        </a:prstGeom>
      </xdr:spPr>
    </xdr:pic>
    <xdr:clientData/>
  </xdr:twoCellAnchor>
  <xdr:twoCellAnchor editAs="oneCell">
    <xdr:from>
      <xdr:col>0</xdr:col>
      <xdr:colOff>571499</xdr:colOff>
      <xdr:row>71</xdr:row>
      <xdr:rowOff>136072</xdr:rowOff>
    </xdr:from>
    <xdr:to>
      <xdr:col>15</xdr:col>
      <xdr:colOff>350949</xdr:colOff>
      <xdr:row>78</xdr:row>
      <xdr:rowOff>12416</xdr:rowOff>
    </xdr:to>
    <xdr:pic>
      <xdr:nvPicPr>
        <xdr:cNvPr id="7" name="Picture 6">
          <a:extLst>
            <a:ext uri="{FF2B5EF4-FFF2-40B4-BE49-F238E27FC236}">
              <a16:creationId xmlns:a16="http://schemas.microsoft.com/office/drawing/2014/main" id="{CE49C26A-AB9C-46A4-80CC-E6B3528257B8}"/>
            </a:ext>
          </a:extLst>
        </xdr:cNvPr>
        <xdr:cNvPicPr>
          <a:picLocks noChangeAspect="1"/>
        </xdr:cNvPicPr>
      </xdr:nvPicPr>
      <xdr:blipFill>
        <a:blip xmlns:r="http://schemas.openxmlformats.org/officeDocument/2006/relationships" r:embed="rId5"/>
        <a:stretch>
          <a:fillRect/>
        </a:stretch>
      </xdr:blipFill>
      <xdr:spPr>
        <a:xfrm>
          <a:off x="571499" y="13661572"/>
          <a:ext cx="8964271" cy="1209844"/>
        </a:xfrm>
        <a:prstGeom prst="rect">
          <a:avLst/>
        </a:prstGeom>
      </xdr:spPr>
    </xdr:pic>
    <xdr:clientData/>
  </xdr:twoCellAnchor>
  <xdr:twoCellAnchor editAs="oneCell">
    <xdr:from>
      <xdr:col>0</xdr:col>
      <xdr:colOff>380758</xdr:colOff>
      <xdr:row>26</xdr:row>
      <xdr:rowOff>82979</xdr:rowOff>
    </xdr:from>
    <xdr:to>
      <xdr:col>20</xdr:col>
      <xdr:colOff>244929</xdr:colOff>
      <xdr:row>61</xdr:row>
      <xdr:rowOff>3</xdr:rowOff>
    </xdr:to>
    <xdr:pic>
      <xdr:nvPicPr>
        <xdr:cNvPr id="10" name="Picture 9">
          <a:extLst>
            <a:ext uri="{FF2B5EF4-FFF2-40B4-BE49-F238E27FC236}">
              <a16:creationId xmlns:a16="http://schemas.microsoft.com/office/drawing/2014/main" id="{54D994FB-B1A6-4D30-AA5C-FD5E683D663B}"/>
            </a:ext>
          </a:extLst>
        </xdr:cNvPr>
        <xdr:cNvPicPr>
          <a:picLocks noChangeAspect="1"/>
        </xdr:cNvPicPr>
      </xdr:nvPicPr>
      <xdr:blipFill>
        <a:blip xmlns:r="http://schemas.openxmlformats.org/officeDocument/2006/relationships" r:embed="rId6"/>
        <a:stretch>
          <a:fillRect/>
        </a:stretch>
      </xdr:blipFill>
      <xdr:spPr>
        <a:xfrm>
          <a:off x="380758" y="5035979"/>
          <a:ext cx="12110600" cy="6584524"/>
        </a:xfrm>
        <a:prstGeom prst="rect">
          <a:avLst/>
        </a:prstGeom>
      </xdr:spPr>
    </xdr:pic>
    <xdr:clientData/>
  </xdr:twoCellAnchor>
  <xdr:twoCellAnchor editAs="oneCell">
    <xdr:from>
      <xdr:col>18</xdr:col>
      <xdr:colOff>62820</xdr:colOff>
      <xdr:row>8</xdr:row>
      <xdr:rowOff>34140</xdr:rowOff>
    </xdr:from>
    <xdr:to>
      <xdr:col>18</xdr:col>
      <xdr:colOff>91620</xdr:colOff>
      <xdr:row>9</xdr:row>
      <xdr:rowOff>110760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28" name="Ink 27">
              <a:extLst>
                <a:ext uri="{FF2B5EF4-FFF2-40B4-BE49-F238E27FC236}">
                  <a16:creationId xmlns:a16="http://schemas.microsoft.com/office/drawing/2014/main" id="{F937A68A-36A7-44F0-8082-1CB1C6BBF98F}"/>
                </a:ext>
              </a:extLst>
            </xdr14:cNvPr>
            <xdr14:cNvContentPartPr/>
          </xdr14:nvContentPartPr>
          <xdr14:nvPr macro=""/>
          <xdr14:xfrm>
            <a:off x="11035620" y="1558140"/>
            <a:ext cx="28800" cy="267120"/>
          </xdr14:xfrm>
        </xdr:contentPart>
      </mc:Choice>
      <mc:Fallback xmlns="">
        <xdr:pic>
          <xdr:nvPicPr>
            <xdr:cNvPr id="28" name="Ink 27">
              <a:extLst>
                <a:ext uri="{FF2B5EF4-FFF2-40B4-BE49-F238E27FC236}">
                  <a16:creationId xmlns:a16="http://schemas.microsoft.com/office/drawing/2014/main" id="{F937A68A-36A7-44F0-8082-1CB1C6BBF98F}"/>
                </a:ext>
              </a:extLst>
            </xdr:cNvPr>
            <xdr:cNvPicPr/>
          </xdr:nvPicPr>
          <xdr:blipFill>
            <a:blip xmlns:r="http://schemas.openxmlformats.org/officeDocument/2006/relationships" r:embed="rId8"/>
            <a:stretch>
              <a:fillRect/>
            </a:stretch>
          </xdr:blipFill>
          <xdr:spPr>
            <a:xfrm>
              <a:off x="11017842" y="1540140"/>
              <a:ext cx="64000" cy="302760"/>
            </a:xfrm>
            <a:prstGeom prst="rect">
              <a:avLst/>
            </a:prstGeom>
          </xdr:spPr>
        </xdr:pic>
      </mc:Fallback>
    </mc:AlternateContent>
    <xdr:clientData/>
  </xdr:twoCellAnchor>
  <xdr:twoCellAnchor editAs="oneCell">
    <xdr:from>
      <xdr:col>16</xdr:col>
      <xdr:colOff>558060</xdr:colOff>
      <xdr:row>9</xdr:row>
      <xdr:rowOff>91320</xdr:rowOff>
    </xdr:from>
    <xdr:to>
      <xdr:col>16</xdr:col>
      <xdr:colOff>558420</xdr:colOff>
      <xdr:row>9</xdr:row>
      <xdr:rowOff>91680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29" name="Ink 28">
              <a:extLst>
                <a:ext uri="{FF2B5EF4-FFF2-40B4-BE49-F238E27FC236}">
                  <a16:creationId xmlns:a16="http://schemas.microsoft.com/office/drawing/2014/main" id="{B3C377B4-9558-46FD-9874-FD84CD5F5568}"/>
                </a:ext>
              </a:extLst>
            </xdr14:cNvPr>
            <xdr14:cNvContentPartPr/>
          </xdr14:nvContentPartPr>
          <xdr14:nvPr macro=""/>
          <xdr14:xfrm>
            <a:off x="10311660" y="1805820"/>
            <a:ext cx="360" cy="360"/>
          </xdr14:xfrm>
        </xdr:contentPart>
      </mc:Choice>
      <mc:Fallback xmlns="">
        <xdr:pic>
          <xdr:nvPicPr>
            <xdr:cNvPr id="29" name="Ink 28">
              <a:extLst>
                <a:ext uri="{FF2B5EF4-FFF2-40B4-BE49-F238E27FC236}">
                  <a16:creationId xmlns:a16="http://schemas.microsoft.com/office/drawing/2014/main" id="{B3C377B4-9558-46FD-9874-FD84CD5F5568}"/>
                </a:ext>
              </a:extLst>
            </xdr:cNvPr>
            <xdr:cNvPicPr/>
          </xdr:nvPicPr>
          <xdr:blipFill>
            <a:blip xmlns:r="http://schemas.openxmlformats.org/officeDocument/2006/relationships" r:embed="rId10"/>
            <a:stretch>
              <a:fillRect/>
            </a:stretch>
          </xdr:blipFill>
          <xdr:spPr>
            <a:xfrm>
              <a:off x="10293660" y="1787820"/>
              <a:ext cx="36000" cy="36000"/>
            </a:xfrm>
            <a:prstGeom prst="rect">
              <a:avLst/>
            </a:prstGeom>
          </xdr:spPr>
        </xdr:pic>
      </mc:Fallback>
    </mc:AlternateContent>
    <xdr:clientData/>
  </xdr:twoCellAnchor>
  <xdr:twoCellAnchor editAs="oneCell">
    <xdr:from>
      <xdr:col>17</xdr:col>
      <xdr:colOff>5700</xdr:colOff>
      <xdr:row>14</xdr:row>
      <xdr:rowOff>91380</xdr:rowOff>
    </xdr:from>
    <xdr:to>
      <xdr:col>17</xdr:col>
      <xdr:colOff>15780</xdr:colOff>
      <xdr:row>14</xdr:row>
      <xdr:rowOff>101460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0" name="Ink 29">
              <a:extLst>
                <a:ext uri="{FF2B5EF4-FFF2-40B4-BE49-F238E27FC236}">
                  <a16:creationId xmlns:a16="http://schemas.microsoft.com/office/drawing/2014/main" id="{C007C62D-E778-47A7-8E7B-8F8BA6F84DF3}"/>
                </a:ext>
              </a:extLst>
            </xdr14:cNvPr>
            <xdr14:cNvContentPartPr/>
          </xdr14:nvContentPartPr>
          <xdr14:nvPr macro=""/>
          <xdr14:xfrm>
            <a:off x="10368900" y="2758380"/>
            <a:ext cx="10080" cy="10080"/>
          </xdr14:xfrm>
        </xdr:contentPart>
      </mc:Choice>
      <mc:Fallback xmlns="">
        <xdr:pic>
          <xdr:nvPicPr>
            <xdr:cNvPr id="30" name="Ink 29">
              <a:extLst>
                <a:ext uri="{FF2B5EF4-FFF2-40B4-BE49-F238E27FC236}">
                  <a16:creationId xmlns:a16="http://schemas.microsoft.com/office/drawing/2014/main" id="{C007C62D-E778-47A7-8E7B-8F8BA6F84DF3}"/>
                </a:ext>
              </a:extLst>
            </xdr:cNvPr>
            <xdr:cNvPicPr/>
          </xdr:nvPicPr>
          <xdr:blipFill>
            <a:blip xmlns:r="http://schemas.openxmlformats.org/officeDocument/2006/relationships" r:embed="rId12"/>
            <a:stretch>
              <a:fillRect/>
            </a:stretch>
          </xdr:blipFill>
          <xdr:spPr>
            <a:xfrm>
              <a:off x="10350233" y="2740380"/>
              <a:ext cx="47040" cy="45720"/>
            </a:xfrm>
            <a:prstGeom prst="rect">
              <a:avLst/>
            </a:prstGeom>
          </xdr:spPr>
        </xdr:pic>
      </mc:Fallback>
    </mc:AlternateContent>
    <xdr:clientData/>
  </xdr:twoCellAnchor>
  <xdr:twoCellAnchor editAs="oneCell">
    <xdr:from>
      <xdr:col>17</xdr:col>
      <xdr:colOff>43860</xdr:colOff>
      <xdr:row>12</xdr:row>
      <xdr:rowOff>177180</xdr:rowOff>
    </xdr:from>
    <xdr:to>
      <xdr:col>17</xdr:col>
      <xdr:colOff>44220</xdr:colOff>
      <xdr:row>12</xdr:row>
      <xdr:rowOff>177540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31" name="Ink 30">
              <a:extLst>
                <a:ext uri="{FF2B5EF4-FFF2-40B4-BE49-F238E27FC236}">
                  <a16:creationId xmlns:a16="http://schemas.microsoft.com/office/drawing/2014/main" id="{948DDD0F-33DC-4251-864E-A076694B3B71}"/>
                </a:ext>
              </a:extLst>
            </xdr14:cNvPr>
            <xdr14:cNvContentPartPr/>
          </xdr14:nvContentPartPr>
          <xdr14:nvPr macro=""/>
          <xdr14:xfrm>
            <a:off x="10407060" y="2463180"/>
            <a:ext cx="360" cy="360"/>
          </xdr14:xfrm>
        </xdr:contentPart>
      </mc:Choice>
      <mc:Fallback xmlns="">
        <xdr:pic>
          <xdr:nvPicPr>
            <xdr:cNvPr id="31" name="Ink 30">
              <a:extLst>
                <a:ext uri="{FF2B5EF4-FFF2-40B4-BE49-F238E27FC236}">
                  <a16:creationId xmlns:a16="http://schemas.microsoft.com/office/drawing/2014/main" id="{948DDD0F-33DC-4251-864E-A076694B3B71}"/>
                </a:ext>
              </a:extLst>
            </xdr:cNvPr>
            <xdr:cNvPicPr/>
          </xdr:nvPicPr>
          <xdr:blipFill>
            <a:blip xmlns:r="http://schemas.openxmlformats.org/officeDocument/2006/relationships" r:embed="rId10"/>
            <a:stretch>
              <a:fillRect/>
            </a:stretch>
          </xdr:blipFill>
          <xdr:spPr>
            <a:xfrm>
              <a:off x="10389060" y="2445180"/>
              <a:ext cx="36000" cy="36000"/>
            </a:xfrm>
            <a:prstGeom prst="rect">
              <a:avLst/>
            </a:prstGeom>
          </xdr:spPr>
        </xdr:pic>
      </mc:Fallback>
    </mc:AlternateContent>
    <xdr:clientData/>
  </xdr:twoCellAnchor>
  <xdr:twoCellAnchor editAs="oneCell">
    <xdr:from>
      <xdr:col>16</xdr:col>
      <xdr:colOff>577140</xdr:colOff>
      <xdr:row>10</xdr:row>
      <xdr:rowOff>110340</xdr:rowOff>
    </xdr:from>
    <xdr:to>
      <xdr:col>16</xdr:col>
      <xdr:colOff>577500</xdr:colOff>
      <xdr:row>10</xdr:row>
      <xdr:rowOff>110700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32" name="Ink 31">
              <a:extLst>
                <a:ext uri="{FF2B5EF4-FFF2-40B4-BE49-F238E27FC236}">
                  <a16:creationId xmlns:a16="http://schemas.microsoft.com/office/drawing/2014/main" id="{8EC905DD-C242-4B50-9896-2EA1824DCC04}"/>
                </a:ext>
              </a:extLst>
            </xdr14:cNvPr>
            <xdr14:cNvContentPartPr/>
          </xdr14:nvContentPartPr>
          <xdr14:nvPr macro=""/>
          <xdr14:xfrm>
            <a:off x="10330740" y="2015340"/>
            <a:ext cx="360" cy="360"/>
          </xdr14:xfrm>
        </xdr:contentPart>
      </mc:Choice>
      <mc:Fallback xmlns="">
        <xdr:pic>
          <xdr:nvPicPr>
            <xdr:cNvPr id="32" name="Ink 31">
              <a:extLst>
                <a:ext uri="{FF2B5EF4-FFF2-40B4-BE49-F238E27FC236}">
                  <a16:creationId xmlns:a16="http://schemas.microsoft.com/office/drawing/2014/main" id="{8EC905DD-C242-4B50-9896-2EA1824DCC04}"/>
                </a:ext>
              </a:extLst>
            </xdr:cNvPr>
            <xdr:cNvPicPr/>
          </xdr:nvPicPr>
          <xdr:blipFill>
            <a:blip xmlns:r="http://schemas.openxmlformats.org/officeDocument/2006/relationships" r:embed="rId10"/>
            <a:stretch>
              <a:fillRect/>
            </a:stretch>
          </xdr:blipFill>
          <xdr:spPr>
            <a:xfrm>
              <a:off x="10312740" y="1997340"/>
              <a:ext cx="36000" cy="36000"/>
            </a:xfrm>
            <a:prstGeom prst="rect">
              <a:avLst/>
            </a:prstGeom>
          </xdr:spPr>
        </xdr:pic>
      </mc:Fallback>
    </mc:AlternateContent>
    <xdr:clientData/>
  </xdr:twoCellAnchor>
  <xdr:twoCellAnchor editAs="oneCell">
    <xdr:from>
      <xdr:col>26</xdr:col>
      <xdr:colOff>62940</xdr:colOff>
      <xdr:row>6</xdr:row>
      <xdr:rowOff>81780</xdr:rowOff>
    </xdr:from>
    <xdr:to>
      <xdr:col>26</xdr:col>
      <xdr:colOff>120540</xdr:colOff>
      <xdr:row>6</xdr:row>
      <xdr:rowOff>110940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33" name="Ink 32">
              <a:extLst>
                <a:ext uri="{FF2B5EF4-FFF2-40B4-BE49-F238E27FC236}">
                  <a16:creationId xmlns:a16="http://schemas.microsoft.com/office/drawing/2014/main" id="{0DA66530-4F2C-4E14-896D-FC22857D2954}"/>
                </a:ext>
              </a:extLst>
            </xdr14:cNvPr>
            <xdr14:cNvContentPartPr/>
          </xdr14:nvContentPartPr>
          <xdr14:nvPr macro=""/>
          <xdr14:xfrm>
            <a:off x="15912540" y="1224780"/>
            <a:ext cx="57600" cy="29160"/>
          </xdr14:xfrm>
        </xdr:contentPart>
      </mc:Choice>
      <mc:Fallback xmlns="">
        <xdr:pic>
          <xdr:nvPicPr>
            <xdr:cNvPr id="33" name="Ink 32">
              <a:extLst>
                <a:ext uri="{FF2B5EF4-FFF2-40B4-BE49-F238E27FC236}">
                  <a16:creationId xmlns:a16="http://schemas.microsoft.com/office/drawing/2014/main" id="{0DA66530-4F2C-4E14-896D-FC22857D2954}"/>
                </a:ext>
              </a:extLst>
            </xdr:cNvPr>
            <xdr:cNvPicPr/>
          </xdr:nvPicPr>
          <xdr:blipFill>
            <a:blip xmlns:r="http://schemas.openxmlformats.org/officeDocument/2006/relationships" r:embed="rId16"/>
            <a:stretch>
              <a:fillRect/>
            </a:stretch>
          </xdr:blipFill>
          <xdr:spPr>
            <a:xfrm>
              <a:off x="15894540" y="1206780"/>
              <a:ext cx="93240" cy="64800"/>
            </a:xfrm>
            <a:prstGeom prst="rect">
              <a:avLst/>
            </a:prstGeom>
          </xdr:spPr>
        </xdr:pic>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1</xdr:col>
      <xdr:colOff>1</xdr:colOff>
      <xdr:row>0</xdr:row>
      <xdr:rowOff>104775</xdr:rowOff>
    </xdr:from>
    <xdr:to>
      <xdr:col>64</xdr:col>
      <xdr:colOff>0</xdr:colOff>
      <xdr:row>2</xdr:row>
      <xdr:rowOff>123825</xdr:rowOff>
    </xdr:to>
    <xdr:sp macro="" textlink="">
      <xdr:nvSpPr>
        <xdr:cNvPr id="2" name="Rectangle: Top Corners Rounded 1">
          <a:extLst>
            <a:ext uri="{FF2B5EF4-FFF2-40B4-BE49-F238E27FC236}">
              <a16:creationId xmlns:a16="http://schemas.microsoft.com/office/drawing/2014/main" id="{7821A802-85CB-466C-89FC-BE73FA1396C2}"/>
            </a:ext>
          </a:extLst>
        </xdr:cNvPr>
        <xdr:cNvSpPr/>
      </xdr:nvSpPr>
      <xdr:spPr>
        <a:xfrm>
          <a:off x="95251" y="104775"/>
          <a:ext cx="56187975" cy="762000"/>
        </a:xfrm>
        <a:prstGeom prst="round2SameRect">
          <a:avLst>
            <a:gd name="adj1" fmla="val 37821"/>
            <a:gd name="adj2" fmla="val 0"/>
          </a:avLst>
        </a:prstGeom>
        <a:solidFill>
          <a:schemeClr val="bg2">
            <a:lumMod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a:p>
          <a:pPr algn="l"/>
          <a:endParaRPr lang="en-US" sz="1100"/>
        </a:p>
        <a:p>
          <a:pPr algn="l"/>
          <a:endParaRPr lang="en-US" sz="1100"/>
        </a:p>
        <a:p>
          <a:pPr algn="l"/>
          <a:endParaRPr lang="en-US" sz="1100"/>
        </a:p>
        <a:p>
          <a:pPr algn="l"/>
          <a:endParaRPr lang="en-US" sz="1100"/>
        </a:p>
      </xdr:txBody>
    </xdr:sp>
    <xdr:clientData/>
  </xdr:twoCellAnchor>
  <xdr:twoCellAnchor>
    <xdr:from>
      <xdr:col>1</xdr:col>
      <xdr:colOff>114300</xdr:colOff>
      <xdr:row>0</xdr:row>
      <xdr:rowOff>266700</xdr:rowOff>
    </xdr:from>
    <xdr:to>
      <xdr:col>4</xdr:col>
      <xdr:colOff>1571625</xdr:colOff>
      <xdr:row>1</xdr:row>
      <xdr:rowOff>200025</xdr:rowOff>
    </xdr:to>
    <xdr:sp macro="" textlink="">
      <xdr:nvSpPr>
        <xdr:cNvPr id="3" name="TextBox 2">
          <a:extLst>
            <a:ext uri="{FF2B5EF4-FFF2-40B4-BE49-F238E27FC236}">
              <a16:creationId xmlns:a16="http://schemas.microsoft.com/office/drawing/2014/main" id="{63696B9B-4E9D-4B0A-9D63-A7ED459EFE02}"/>
            </a:ext>
          </a:extLst>
        </xdr:cNvPr>
        <xdr:cNvSpPr txBox="1"/>
      </xdr:nvSpPr>
      <xdr:spPr>
        <a:xfrm>
          <a:off x="209550" y="266700"/>
          <a:ext cx="78867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chemeClr val="bg1"/>
              </a:solidFill>
              <a:latin typeface="Tahoma" panose="020B0604030504040204" pitchFamily="34" charset="0"/>
              <a:ea typeface="Tahoma" panose="020B0604030504040204" pitchFamily="34" charset="0"/>
              <a:cs typeface="Tahoma" panose="020B0604030504040204" pitchFamily="34" charset="0"/>
            </a:rPr>
            <a:t> Air Source Heat Pumps</a:t>
          </a:r>
        </a:p>
      </xdr:txBody>
    </xdr:sp>
    <xdr:clientData/>
  </xdr:twoCellAnchor>
  <xdr:twoCellAnchor>
    <xdr:from>
      <xdr:col>1</xdr:col>
      <xdr:colOff>180974</xdr:colOff>
      <xdr:row>1</xdr:row>
      <xdr:rowOff>295276</xdr:rowOff>
    </xdr:from>
    <xdr:to>
      <xdr:col>9</xdr:col>
      <xdr:colOff>466725</xdr:colOff>
      <xdr:row>3</xdr:row>
      <xdr:rowOff>200025</xdr:rowOff>
    </xdr:to>
    <xdr:sp macro="" textlink="">
      <xdr:nvSpPr>
        <xdr:cNvPr id="4" name="TextBox 3">
          <a:extLst>
            <a:ext uri="{FF2B5EF4-FFF2-40B4-BE49-F238E27FC236}">
              <a16:creationId xmlns:a16="http://schemas.microsoft.com/office/drawing/2014/main" id="{E5F455F0-E798-4D56-9D28-ACAF9849A69F}"/>
            </a:ext>
          </a:extLst>
        </xdr:cNvPr>
        <xdr:cNvSpPr txBox="1"/>
      </xdr:nvSpPr>
      <xdr:spPr>
        <a:xfrm>
          <a:off x="276224" y="666751"/>
          <a:ext cx="13382626" cy="647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Eligible equipment must meet or exceed cooling and heating efficiency requirements as outlined on our website at energysavepa-business.com.  Heat pump systems must be used for both heating and comfort cooling applications.  Qualifying split heat pump systems must have both a new condenser and a new coil that meets AHRI specifications and where the matched system performance (condenser and coil) meets or exceeds the minimum requirements.  </a:t>
          </a:r>
          <a:r>
            <a:rPr lang="en-US" sz="1100" b="0" i="0">
              <a:solidFill>
                <a:schemeClr val="bg1"/>
              </a:solidFill>
              <a:effectLst/>
              <a:latin typeface="+mn-lt"/>
              <a:ea typeface="+mn-ea"/>
              <a:cs typeface="+mn-cs"/>
            </a:rPr>
            <a:t>Cooling capacities referenced below are </a:t>
          </a:r>
          <a:r>
            <a:rPr lang="en-US" sz="1100">
              <a:solidFill>
                <a:schemeClr val="bg1"/>
              </a:solidFill>
              <a:effectLst/>
              <a:latin typeface="+mn-lt"/>
              <a:ea typeface="+mn-ea"/>
              <a:cs typeface="+mn-cs"/>
            </a:rPr>
            <a:t>Air Conditioning, Heating, and Refrigeration Institute (AHRI) rated capacities</a:t>
          </a:r>
          <a:r>
            <a:rPr lang="en-US" sz="1100" b="0" i="0">
              <a:solidFill>
                <a:schemeClr val="bg1"/>
              </a:solidFill>
              <a:effectLst/>
              <a:latin typeface="+mn-lt"/>
              <a:ea typeface="+mn-ea"/>
              <a:cs typeface="+mn-cs"/>
            </a:rPr>
            <a:t>.</a:t>
          </a:r>
          <a:endParaRPr lang="en-US" sz="1100">
            <a:solidFill>
              <a:schemeClr val="bg1"/>
            </a:solidFill>
          </a:endParaRPr>
        </a:p>
      </xdr:txBody>
    </xdr:sp>
    <xdr:clientData/>
  </xdr:twoCellAnchor>
  <xdr:twoCellAnchor>
    <xdr:from>
      <xdr:col>7</xdr:col>
      <xdr:colOff>409575</xdr:colOff>
      <xdr:row>0</xdr:row>
      <xdr:rowOff>247650</xdr:rowOff>
    </xdr:from>
    <xdr:to>
      <xdr:col>9</xdr:col>
      <xdr:colOff>428625</xdr:colOff>
      <xdr:row>1</xdr:row>
      <xdr:rowOff>228601</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C58EF432-EF7D-4B00-97BB-C441750DD457}"/>
            </a:ext>
          </a:extLst>
        </xdr:cNvPr>
        <xdr:cNvSpPr/>
      </xdr:nvSpPr>
      <xdr:spPr>
        <a:xfrm>
          <a:off x="11410950" y="247650"/>
          <a:ext cx="2209800" cy="352426"/>
        </a:xfrm>
        <a:prstGeom prst="roundRect">
          <a:avLst>
            <a:gd name="adj" fmla="val 29570"/>
          </a:avLst>
        </a:prstGeom>
        <a:solidFill>
          <a:schemeClr val="bg2">
            <a:lumMod val="2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352426</xdr:colOff>
      <xdr:row>0</xdr:row>
      <xdr:rowOff>285751</xdr:rowOff>
    </xdr:from>
    <xdr:to>
      <xdr:col>9</xdr:col>
      <xdr:colOff>457200</xdr:colOff>
      <xdr:row>1</xdr:row>
      <xdr:rowOff>180976</xdr:rowOff>
    </xdr:to>
    <xdr:sp macro="" textlink="">
      <xdr:nvSpPr>
        <xdr:cNvPr id="6" name="TextBox 5">
          <a:hlinkClick xmlns:r="http://schemas.openxmlformats.org/officeDocument/2006/relationships" r:id="rId1"/>
          <a:extLst>
            <a:ext uri="{FF2B5EF4-FFF2-40B4-BE49-F238E27FC236}">
              <a16:creationId xmlns:a16="http://schemas.microsoft.com/office/drawing/2014/main" id="{19ABA26D-4429-4A6F-BE1F-539DA8F77C74}"/>
            </a:ext>
          </a:extLst>
        </xdr:cNvPr>
        <xdr:cNvSpPr txBox="1"/>
      </xdr:nvSpPr>
      <xdr:spPr>
        <a:xfrm>
          <a:off x="11353801" y="285751"/>
          <a:ext cx="2295524"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rPr>
            <a:t> ← </a:t>
          </a:r>
          <a:r>
            <a:rPr lang="en-US" sz="1300" b="1">
              <a:solidFill>
                <a:schemeClr val="bg1"/>
              </a:solidFill>
            </a:rPr>
            <a:t>Return to Project Summary</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95249</xdr:colOff>
      <xdr:row>0</xdr:row>
      <xdr:rowOff>76200</xdr:rowOff>
    </xdr:from>
    <xdr:to>
      <xdr:col>80</xdr:col>
      <xdr:colOff>0</xdr:colOff>
      <xdr:row>2</xdr:row>
      <xdr:rowOff>177165</xdr:rowOff>
    </xdr:to>
    <xdr:sp macro="" textlink="">
      <xdr:nvSpPr>
        <xdr:cNvPr id="7" name="Rectangle: Top Corners Rounded 6">
          <a:extLst>
            <a:ext uri="{FF2B5EF4-FFF2-40B4-BE49-F238E27FC236}">
              <a16:creationId xmlns:a16="http://schemas.microsoft.com/office/drawing/2014/main" id="{144E1A2F-1943-46DB-960C-0F7DFCF6A146}"/>
            </a:ext>
          </a:extLst>
        </xdr:cNvPr>
        <xdr:cNvSpPr/>
      </xdr:nvSpPr>
      <xdr:spPr>
        <a:xfrm>
          <a:off x="95249" y="76200"/>
          <a:ext cx="77102075" cy="750906"/>
        </a:xfrm>
        <a:prstGeom prst="round2SameRect">
          <a:avLst>
            <a:gd name="adj1" fmla="val 37821"/>
            <a:gd name="adj2" fmla="val 0"/>
          </a:avLst>
        </a:prstGeom>
        <a:solidFill>
          <a:schemeClr val="bg2">
            <a:lumMod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142875</xdr:colOff>
      <xdr:row>0</xdr:row>
      <xdr:rowOff>228601</xdr:rowOff>
    </xdr:from>
    <xdr:to>
      <xdr:col>4</xdr:col>
      <xdr:colOff>38100</xdr:colOff>
      <xdr:row>2</xdr:row>
      <xdr:rowOff>114301</xdr:rowOff>
    </xdr:to>
    <xdr:sp macro="" textlink="">
      <xdr:nvSpPr>
        <xdr:cNvPr id="3" name="TextBox 2">
          <a:extLst>
            <a:ext uri="{FF2B5EF4-FFF2-40B4-BE49-F238E27FC236}">
              <a16:creationId xmlns:a16="http://schemas.microsoft.com/office/drawing/2014/main" id="{28621BF7-86EF-4BD9-B158-99038B61F014}"/>
            </a:ext>
          </a:extLst>
        </xdr:cNvPr>
        <xdr:cNvSpPr txBox="1"/>
      </xdr:nvSpPr>
      <xdr:spPr>
        <a:xfrm>
          <a:off x="238125" y="228601"/>
          <a:ext cx="3371850"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chemeClr val="bg1"/>
              </a:solidFill>
              <a:latin typeface="Tahoma" panose="020B0604030504040204" pitchFamily="34" charset="0"/>
              <a:ea typeface="Tahoma" panose="020B0604030504040204" pitchFamily="34" charset="0"/>
              <a:cs typeface="Tahoma" panose="020B0604030504040204" pitchFamily="34" charset="0"/>
            </a:rPr>
            <a:t> Water Source Heat Pumps</a:t>
          </a:r>
        </a:p>
      </xdr:txBody>
    </xdr:sp>
    <xdr:clientData/>
  </xdr:twoCellAnchor>
  <xdr:twoCellAnchor>
    <xdr:from>
      <xdr:col>1</xdr:col>
      <xdr:colOff>219077</xdr:colOff>
      <xdr:row>1</xdr:row>
      <xdr:rowOff>247651</xdr:rowOff>
    </xdr:from>
    <xdr:to>
      <xdr:col>9</xdr:col>
      <xdr:colOff>38100</xdr:colOff>
      <xdr:row>4</xdr:row>
      <xdr:rowOff>104775</xdr:rowOff>
    </xdr:to>
    <xdr:sp macro="" textlink="">
      <xdr:nvSpPr>
        <xdr:cNvPr id="2" name="TextBox 1">
          <a:extLst>
            <a:ext uri="{FF2B5EF4-FFF2-40B4-BE49-F238E27FC236}">
              <a16:creationId xmlns:a16="http://schemas.microsoft.com/office/drawing/2014/main" id="{90F37E11-B054-481C-846B-1A22449386B6}"/>
            </a:ext>
          </a:extLst>
        </xdr:cNvPr>
        <xdr:cNvSpPr txBox="1"/>
      </xdr:nvSpPr>
      <xdr:spPr>
        <a:xfrm>
          <a:off x="314327" y="581026"/>
          <a:ext cx="11220448" cy="857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Eligible equipment must meet or exceed cooling and heating efficiency requirements as outlined on our website at energysavepa-business.com.  Heat pump systems must be used for both heating and comfort cooling applications</a:t>
          </a:r>
          <a:r>
            <a:rPr lang="en-US" sz="1100" baseline="0">
              <a:solidFill>
                <a:schemeClr val="bg1"/>
              </a:solidFill>
            </a:rPr>
            <a:t>.  </a:t>
          </a:r>
          <a:r>
            <a:rPr lang="en-US" sz="1100">
              <a:solidFill>
                <a:schemeClr val="bg1"/>
              </a:solidFill>
            </a:rPr>
            <a:t>Qualifying systems must have both a new condenser and a new coil that meets AHRI specifications and where the matched system performance (condenser and coil) meets or exceeds the minimum requirements.  Ground source and ground water source heat pumps (i.e., geothermal-heat pumps) with cooling capacities of 135,000 Btu/h or greater are not eligible for incentives under the HVAC program.  </a:t>
          </a:r>
          <a:r>
            <a:rPr lang="en-US" sz="1100" b="0" i="0">
              <a:solidFill>
                <a:schemeClr val="bg1"/>
              </a:solidFill>
              <a:effectLst/>
              <a:latin typeface="+mn-lt"/>
              <a:ea typeface="+mn-ea"/>
              <a:cs typeface="+mn-cs"/>
            </a:rPr>
            <a:t>Cooling capacities referenced below are </a:t>
          </a:r>
          <a:r>
            <a:rPr lang="en-US" sz="1100">
              <a:solidFill>
                <a:schemeClr val="bg1"/>
              </a:solidFill>
              <a:effectLst/>
              <a:latin typeface="+mn-lt"/>
              <a:ea typeface="+mn-ea"/>
              <a:cs typeface="+mn-cs"/>
            </a:rPr>
            <a:t>Air Conditioning, Heating, and Refrigeration Institute (AHRI) rated capacities</a:t>
          </a:r>
          <a:r>
            <a:rPr lang="en-US" sz="1100" b="0" i="0">
              <a:solidFill>
                <a:schemeClr val="bg1"/>
              </a:solidFill>
              <a:effectLst/>
              <a:latin typeface="+mn-lt"/>
              <a:ea typeface="+mn-ea"/>
              <a:cs typeface="+mn-cs"/>
            </a:rPr>
            <a:t>.</a:t>
          </a:r>
          <a:endParaRPr lang="en-US" sz="1100">
            <a:solidFill>
              <a:schemeClr val="bg1"/>
            </a:solidFill>
          </a:endParaRPr>
        </a:p>
      </xdr:txBody>
    </xdr:sp>
    <xdr:clientData/>
  </xdr:twoCellAnchor>
  <xdr:twoCellAnchor>
    <xdr:from>
      <xdr:col>7</xdr:col>
      <xdr:colOff>800098</xdr:colOff>
      <xdr:row>0</xdr:row>
      <xdr:rowOff>219075</xdr:rowOff>
    </xdr:from>
    <xdr:to>
      <xdr:col>8</xdr:col>
      <xdr:colOff>1838323</xdr:colOff>
      <xdr:row>1</xdr:row>
      <xdr:rowOff>238126</xdr:rowOff>
    </xdr:to>
    <xdr:sp macro="" textlink="">
      <xdr:nvSpPr>
        <xdr:cNvPr id="10" name="Rectangle: Rounded Corners 9">
          <a:hlinkClick xmlns:r="http://schemas.openxmlformats.org/officeDocument/2006/relationships" r:id="rId1"/>
          <a:extLst>
            <a:ext uri="{FF2B5EF4-FFF2-40B4-BE49-F238E27FC236}">
              <a16:creationId xmlns:a16="http://schemas.microsoft.com/office/drawing/2014/main" id="{7A391A4D-EE38-460D-8FB2-B4A8E92398A7}"/>
            </a:ext>
          </a:extLst>
        </xdr:cNvPr>
        <xdr:cNvSpPr/>
      </xdr:nvSpPr>
      <xdr:spPr>
        <a:xfrm>
          <a:off x="8753473" y="219075"/>
          <a:ext cx="2162175" cy="352426"/>
        </a:xfrm>
        <a:prstGeom prst="roundRect">
          <a:avLst>
            <a:gd name="adj" fmla="val 29570"/>
          </a:avLst>
        </a:prstGeom>
        <a:solidFill>
          <a:schemeClr val="bg2">
            <a:lumMod val="2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733424</xdr:colOff>
      <xdr:row>0</xdr:row>
      <xdr:rowOff>257176</xdr:rowOff>
    </xdr:from>
    <xdr:to>
      <xdr:col>8</xdr:col>
      <xdr:colOff>1857374</xdr:colOff>
      <xdr:row>1</xdr:row>
      <xdr:rowOff>190501</xdr:rowOff>
    </xdr:to>
    <xdr:sp macro="" textlink="">
      <xdr:nvSpPr>
        <xdr:cNvPr id="11" name="TextBox 10">
          <a:hlinkClick xmlns:r="http://schemas.openxmlformats.org/officeDocument/2006/relationships" r:id="rId1"/>
          <a:extLst>
            <a:ext uri="{FF2B5EF4-FFF2-40B4-BE49-F238E27FC236}">
              <a16:creationId xmlns:a16="http://schemas.microsoft.com/office/drawing/2014/main" id="{A75D6D6B-F0FC-4D6A-8FF4-EB5DBA08F4D4}"/>
            </a:ext>
          </a:extLst>
        </xdr:cNvPr>
        <xdr:cNvSpPr txBox="1"/>
      </xdr:nvSpPr>
      <xdr:spPr>
        <a:xfrm>
          <a:off x="8686799" y="257176"/>
          <a:ext cx="22479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rPr>
            <a:t> ← </a:t>
          </a:r>
          <a:r>
            <a:rPr lang="en-US" sz="1300" b="1">
              <a:solidFill>
                <a:schemeClr val="bg1"/>
              </a:solidFill>
            </a:rPr>
            <a:t>Return to Project Summary</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85725</xdr:rowOff>
    </xdr:from>
    <xdr:to>
      <xdr:col>47</xdr:col>
      <xdr:colOff>0</xdr:colOff>
      <xdr:row>2</xdr:row>
      <xdr:rowOff>161925</xdr:rowOff>
    </xdr:to>
    <xdr:sp macro="" textlink="">
      <xdr:nvSpPr>
        <xdr:cNvPr id="5" name="Rectangle: Top Corners Rounded 4">
          <a:extLst>
            <a:ext uri="{FF2B5EF4-FFF2-40B4-BE49-F238E27FC236}">
              <a16:creationId xmlns:a16="http://schemas.microsoft.com/office/drawing/2014/main" id="{E8F5FEE0-6414-42C2-A8A2-B34188FE68BE}"/>
            </a:ext>
          </a:extLst>
        </xdr:cNvPr>
        <xdr:cNvSpPr/>
      </xdr:nvSpPr>
      <xdr:spPr>
        <a:xfrm>
          <a:off x="95250" y="85725"/>
          <a:ext cx="35613975" cy="819150"/>
        </a:xfrm>
        <a:prstGeom prst="round2SameRect">
          <a:avLst>
            <a:gd name="adj1" fmla="val 37821"/>
            <a:gd name="adj2" fmla="val 0"/>
          </a:avLst>
        </a:prstGeom>
        <a:solidFill>
          <a:schemeClr val="bg2">
            <a:lumMod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209549</xdr:colOff>
      <xdr:row>1</xdr:row>
      <xdr:rowOff>152401</xdr:rowOff>
    </xdr:from>
    <xdr:to>
      <xdr:col>8</xdr:col>
      <xdr:colOff>1733550</xdr:colOff>
      <xdr:row>4</xdr:row>
      <xdr:rowOff>9526</xdr:rowOff>
    </xdr:to>
    <xdr:sp macro="" textlink="">
      <xdr:nvSpPr>
        <xdr:cNvPr id="2" name="TextBox 1">
          <a:extLst>
            <a:ext uri="{FF2B5EF4-FFF2-40B4-BE49-F238E27FC236}">
              <a16:creationId xmlns:a16="http://schemas.microsoft.com/office/drawing/2014/main" id="{883F10C7-0289-4532-BF37-A99D124C17AB}"/>
            </a:ext>
          </a:extLst>
        </xdr:cNvPr>
        <xdr:cNvSpPr txBox="1"/>
      </xdr:nvSpPr>
      <xdr:spPr>
        <a:xfrm>
          <a:off x="304799" y="523876"/>
          <a:ext cx="11058526" cy="971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Eligible ductless mini-split heat pumps must be used for comfort cooling and must be Energy Star® qualified with a SEER of at least 20.0, and EER of at least 12.5 and an HSPF of at least 10.  Qualifying systems must have both a new condenser and a new evaporator coil that meets AHRI specifications,</a:t>
          </a:r>
          <a:r>
            <a:rPr lang="en-US" sz="1100" baseline="0">
              <a:solidFill>
                <a:schemeClr val="bg1"/>
              </a:solidFill>
            </a:rPr>
            <a:t> </a:t>
          </a:r>
          <a:r>
            <a:rPr lang="en-US" sz="1100">
              <a:solidFill>
                <a:schemeClr val="bg1"/>
              </a:solidFill>
            </a:rPr>
            <a:t>where the matched system performance (condenser and coil) meets or exceeds the minimum program requirements.  Replacement and new installations are eligible.  Systems with cooling capacities greater than 5.4 tons, systems</a:t>
          </a:r>
          <a:r>
            <a:rPr lang="en-US" sz="1100" baseline="0">
              <a:solidFill>
                <a:schemeClr val="bg1"/>
              </a:solidFill>
            </a:rPr>
            <a:t> </a:t>
          </a:r>
          <a:r>
            <a:rPr lang="en-US" sz="1100">
              <a:solidFill>
                <a:schemeClr val="bg1"/>
              </a:solidFill>
            </a:rPr>
            <a:t>used for cooling of IT equipment, or systems used for industrial processes, would not be eligble for incentives through this measure and may be eligible under the Custom Equipment program.  </a:t>
          </a:r>
          <a:r>
            <a:rPr lang="en-US" sz="1100" b="0" i="0">
              <a:solidFill>
                <a:schemeClr val="bg1"/>
              </a:solidFill>
              <a:effectLst/>
              <a:latin typeface="+mn-lt"/>
              <a:ea typeface="+mn-ea"/>
              <a:cs typeface="+mn-cs"/>
            </a:rPr>
            <a:t>Cooling capacities referenced below are </a:t>
          </a:r>
          <a:r>
            <a:rPr lang="en-US" sz="1100">
              <a:solidFill>
                <a:schemeClr val="bg1"/>
              </a:solidFill>
              <a:effectLst/>
              <a:latin typeface="+mn-lt"/>
              <a:ea typeface="+mn-ea"/>
              <a:cs typeface="+mn-cs"/>
            </a:rPr>
            <a:t>Air Conditioning, Heating, and Refrigeration Institute (AHRI) rated capacities</a:t>
          </a:r>
          <a:r>
            <a:rPr lang="en-US" sz="1100" b="0" i="0">
              <a:solidFill>
                <a:schemeClr val="bg1"/>
              </a:solidFill>
              <a:effectLst/>
              <a:latin typeface="+mn-lt"/>
              <a:ea typeface="+mn-ea"/>
              <a:cs typeface="+mn-cs"/>
            </a:rPr>
            <a:t>.</a:t>
          </a:r>
          <a:endParaRPr lang="en-US" sz="1100">
            <a:solidFill>
              <a:schemeClr val="bg1"/>
            </a:solidFill>
          </a:endParaRPr>
        </a:p>
      </xdr:txBody>
    </xdr:sp>
    <xdr:clientData/>
  </xdr:twoCellAnchor>
  <xdr:twoCellAnchor>
    <xdr:from>
      <xdr:col>1</xdr:col>
      <xdr:colOff>209550</xdr:colOff>
      <xdr:row>0</xdr:row>
      <xdr:rowOff>276225</xdr:rowOff>
    </xdr:from>
    <xdr:to>
      <xdr:col>4</xdr:col>
      <xdr:colOff>400050</xdr:colOff>
      <xdr:row>1</xdr:row>
      <xdr:rowOff>266700</xdr:rowOff>
    </xdr:to>
    <xdr:sp macro="" textlink="">
      <xdr:nvSpPr>
        <xdr:cNvPr id="3" name="TextBox 2">
          <a:extLst>
            <a:ext uri="{FF2B5EF4-FFF2-40B4-BE49-F238E27FC236}">
              <a16:creationId xmlns:a16="http://schemas.microsoft.com/office/drawing/2014/main" id="{0B579B8C-9D9C-4FD6-98AB-AC237F7CD30B}"/>
            </a:ext>
          </a:extLst>
        </xdr:cNvPr>
        <xdr:cNvSpPr txBox="1"/>
      </xdr:nvSpPr>
      <xdr:spPr>
        <a:xfrm>
          <a:off x="304800" y="276225"/>
          <a:ext cx="396240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latin typeface="Tahoma" panose="020B0604030504040204" pitchFamily="34" charset="0"/>
              <a:ea typeface="Tahoma" panose="020B0604030504040204" pitchFamily="34" charset="0"/>
              <a:cs typeface="Tahoma" panose="020B0604030504040204" pitchFamily="34" charset="0"/>
            </a:rPr>
            <a:t>Ductless Mini-Split Heat Pumps</a:t>
          </a:r>
        </a:p>
      </xdr:txBody>
    </xdr:sp>
    <xdr:clientData/>
  </xdr:twoCellAnchor>
  <xdr:twoCellAnchor>
    <xdr:from>
      <xdr:col>7</xdr:col>
      <xdr:colOff>419098</xdr:colOff>
      <xdr:row>0</xdr:row>
      <xdr:rowOff>200025</xdr:rowOff>
    </xdr:from>
    <xdr:to>
      <xdr:col>8</xdr:col>
      <xdr:colOff>1523999</xdr:colOff>
      <xdr:row>1</xdr:row>
      <xdr:rowOff>180976</xdr:rowOff>
    </xdr:to>
    <xdr:sp macro="" textlink="">
      <xdr:nvSpPr>
        <xdr:cNvPr id="7" name="Rectangle: Rounded Corners 6">
          <a:hlinkClick xmlns:r="http://schemas.openxmlformats.org/officeDocument/2006/relationships" r:id="rId1"/>
          <a:extLst>
            <a:ext uri="{FF2B5EF4-FFF2-40B4-BE49-F238E27FC236}">
              <a16:creationId xmlns:a16="http://schemas.microsoft.com/office/drawing/2014/main" id="{3F213704-543F-4A4E-9A3D-66A19426E763}"/>
            </a:ext>
          </a:extLst>
        </xdr:cNvPr>
        <xdr:cNvSpPr/>
      </xdr:nvSpPr>
      <xdr:spPr>
        <a:xfrm>
          <a:off x="8791573" y="200025"/>
          <a:ext cx="2190751" cy="352426"/>
        </a:xfrm>
        <a:prstGeom prst="roundRect">
          <a:avLst>
            <a:gd name="adj" fmla="val 29570"/>
          </a:avLst>
        </a:prstGeom>
        <a:solidFill>
          <a:schemeClr val="bg2">
            <a:lumMod val="2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352425</xdr:colOff>
      <xdr:row>0</xdr:row>
      <xdr:rowOff>238126</xdr:rowOff>
    </xdr:from>
    <xdr:to>
      <xdr:col>8</xdr:col>
      <xdr:colOff>1543050</xdr:colOff>
      <xdr:row>1</xdr:row>
      <xdr:rowOff>133351</xdr:rowOff>
    </xdr:to>
    <xdr:sp macro="" textlink="">
      <xdr:nvSpPr>
        <xdr:cNvPr id="8" name="TextBox 7">
          <a:hlinkClick xmlns:r="http://schemas.openxmlformats.org/officeDocument/2006/relationships" r:id="rId1"/>
          <a:extLst>
            <a:ext uri="{FF2B5EF4-FFF2-40B4-BE49-F238E27FC236}">
              <a16:creationId xmlns:a16="http://schemas.microsoft.com/office/drawing/2014/main" id="{F89F6ECB-4D15-4072-BCEA-E1AAFF474A19}"/>
            </a:ext>
          </a:extLst>
        </xdr:cNvPr>
        <xdr:cNvSpPr txBox="1"/>
      </xdr:nvSpPr>
      <xdr:spPr>
        <a:xfrm>
          <a:off x="8724900" y="238126"/>
          <a:ext cx="2276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rPr>
            <a:t> ← </a:t>
          </a:r>
          <a:r>
            <a:rPr lang="en-US" sz="1300" b="1">
              <a:solidFill>
                <a:schemeClr val="bg1"/>
              </a:solidFill>
            </a:rPr>
            <a:t>Return to Project Summary</a:t>
          </a:r>
        </a:p>
      </xdr:txBody>
    </xdr:sp>
    <xdr:clientData/>
  </xdr:twoCellAnchor>
</xdr:wsDr>
</file>

<file path=xl/ink/ink1.xml><?xml version="1.0" encoding="utf-8"?>
<inkml:ink xmlns:inkml="http://www.w3.org/2003/InkML">
  <inkml:definitions>
    <inkml:context xml:id="ctx0">
      <inkml:inkSource xml:id="inkSrc0">
        <inkml:traceFormat>
          <inkml:channel name="X" type="integer" max="4480" units="cm"/>
          <inkml:channel name="Y" type="integer" min="-687" max="1080" units="cm"/>
          <inkml:channel name="T" type="integer" max="2.14748E9" units="dev"/>
        </inkml:traceFormat>
        <inkml:channelProperties>
          <inkml:channelProperty channel="X" name="resolution" value="130.23256" units="1/cm"/>
          <inkml:channelProperty channel="Y" name="resolution" value="91.08247" units="1/cm"/>
          <inkml:channelProperty channel="T" name="resolution" value="1" units="1/dev"/>
        </inkml:channelProperties>
      </inkml:inkSource>
      <inkml:timestamp xml:id="ts0" timeString="2021-12-21T21:08:28.577"/>
    </inkml:context>
    <inkml:brush xml:id="br0">
      <inkml:brushProperty name="width" value="0.1" units="cm"/>
      <inkml:brushProperty name="height" value="0.1" units="cm"/>
      <inkml:brushProperty name="color" value="#E71224"/>
    </inkml:brush>
  </inkml:definitions>
  <inkml:trace contextRef="#ctx0" brushRef="#br0">0 0 0,'27'0'63,"-27"27"-63,0-1 0,0 1 15,0-1-15,26-26 0,-26 27 0,0-1 0,0 1 0,0-1 0,0 1 0,0-1 0,0 0 0,0 1 0,27-27 0,-27 26 16,0 1-16,0-1 0,0 1 0,0-1 0,0 1 0,0-1 15,0 1-15,0-1 0,0 0 0,0 1 16,0-1-16,0 1 0,0-1 0,0 1 16,0-1-16,-27-26 609,1 0-609</inkml:trace>
</inkml:ink>
</file>

<file path=xl/ink/ink2.xml><?xml version="1.0" encoding="utf-8"?>
<inkml:ink xmlns:inkml="http://www.w3.org/2003/InkML">
  <inkml:definitions>
    <inkml:context xml:id="ctx0">
      <inkml:inkSource xml:id="inkSrc0">
        <inkml:traceFormat>
          <inkml:channel name="X" type="integer" max="4480" units="cm"/>
          <inkml:channel name="Y" type="integer" min="-687" max="1080" units="cm"/>
          <inkml:channel name="T" type="integer" max="2.14748E9" units="dev"/>
        </inkml:traceFormat>
        <inkml:channelProperties>
          <inkml:channelProperty channel="X" name="resolution" value="130.23256" units="1/cm"/>
          <inkml:channelProperty channel="Y" name="resolution" value="91.08247" units="1/cm"/>
          <inkml:channelProperty channel="T" name="resolution" value="1" units="1/dev"/>
        </inkml:channelProperties>
      </inkml:inkSource>
      <inkml:timestamp xml:id="ts0" timeString="2021-12-21T21:08:29.929"/>
    </inkml:context>
    <inkml:brush xml:id="br0">
      <inkml:brushProperty name="width" value="0.1" units="cm"/>
      <inkml:brushProperty name="height" value="0.1" units="cm"/>
      <inkml:brushProperty name="color" value="#E71224"/>
    </inkml:brush>
  </inkml:definitions>
  <inkml:trace contextRef="#ctx0" brushRef="#br0">0 0 0</inkml:trace>
</inkml:ink>
</file>

<file path=xl/ink/ink3.xml><?xml version="1.0" encoding="utf-8"?>
<inkml:ink xmlns:inkml="http://www.w3.org/2003/InkML">
  <inkml:definitions>
    <inkml:context xml:id="ctx0">
      <inkml:inkSource xml:id="inkSrc0">
        <inkml:traceFormat>
          <inkml:channel name="X" type="integer" max="4480" units="cm"/>
          <inkml:channel name="Y" type="integer" min="-687" max="1080" units="cm"/>
          <inkml:channel name="T" type="integer" max="2.14748E9" units="dev"/>
        </inkml:traceFormat>
        <inkml:channelProperties>
          <inkml:channelProperty channel="X" name="resolution" value="130.23256" units="1/cm"/>
          <inkml:channelProperty channel="Y" name="resolution" value="91.08247" units="1/cm"/>
          <inkml:channelProperty channel="T" name="resolution" value="1" units="1/dev"/>
        </inkml:channelProperties>
      </inkml:inkSource>
      <inkml:timestamp xml:id="ts0" timeString="2021-12-21T21:08:48.736"/>
    </inkml:context>
    <inkml:brush xml:id="br0">
      <inkml:brushProperty name="width" value="0.1" units="cm"/>
      <inkml:brushProperty name="height" value="0.1" units="cm"/>
      <inkml:brushProperty name="color" value="#E71224"/>
    </inkml:brush>
  </inkml:definitions>
  <inkml:trace contextRef="#ctx0" brushRef="#br0">0 27 0,'0'-27'31,"26"27"-15</inkml:trace>
</inkml:ink>
</file>

<file path=xl/ink/ink4.xml><?xml version="1.0" encoding="utf-8"?>
<inkml:ink xmlns:inkml="http://www.w3.org/2003/InkML">
  <inkml:definitions>
    <inkml:context xml:id="ctx0">
      <inkml:inkSource xml:id="inkSrc0">
        <inkml:traceFormat>
          <inkml:channel name="X" type="integer" max="4480" units="cm"/>
          <inkml:channel name="Y" type="integer" min="-687" max="1080" units="cm"/>
          <inkml:channel name="T" type="integer" max="2.14748E9" units="dev"/>
        </inkml:traceFormat>
        <inkml:channelProperties>
          <inkml:channelProperty channel="X" name="resolution" value="130.23256" units="1/cm"/>
          <inkml:channelProperty channel="Y" name="resolution" value="91.08247" units="1/cm"/>
          <inkml:channelProperty channel="T" name="resolution" value="1" units="1/dev"/>
        </inkml:channelProperties>
      </inkml:inkSource>
      <inkml:timestamp xml:id="ts0" timeString="2021-12-21T21:08:49.558"/>
    </inkml:context>
    <inkml:brush xml:id="br0">
      <inkml:brushProperty name="width" value="0.1" units="cm"/>
      <inkml:brushProperty name="height" value="0.1" units="cm"/>
      <inkml:brushProperty name="color" value="#E71224"/>
    </inkml:brush>
  </inkml:definitions>
  <inkml:trace contextRef="#ctx0" brushRef="#br0">0 0 0</inkml:trace>
</inkml:ink>
</file>

<file path=xl/ink/ink5.xml><?xml version="1.0" encoding="utf-8"?>
<inkml:ink xmlns:inkml="http://www.w3.org/2003/InkML">
  <inkml:definitions>
    <inkml:context xml:id="ctx0">
      <inkml:inkSource xml:id="inkSrc0">
        <inkml:traceFormat>
          <inkml:channel name="X" type="integer" max="4480" units="cm"/>
          <inkml:channel name="Y" type="integer" min="-687" max="1080" units="cm"/>
          <inkml:channel name="T" type="integer" max="2.14748E9" units="dev"/>
        </inkml:traceFormat>
        <inkml:channelProperties>
          <inkml:channelProperty channel="X" name="resolution" value="130.23256" units="1/cm"/>
          <inkml:channelProperty channel="Y" name="resolution" value="91.08247" units="1/cm"/>
          <inkml:channelProperty channel="T" name="resolution" value="1" units="1/dev"/>
        </inkml:channelProperties>
      </inkml:inkSource>
      <inkml:timestamp xml:id="ts0" timeString="2021-12-21T21:08:50.191"/>
    </inkml:context>
    <inkml:brush xml:id="br0">
      <inkml:brushProperty name="width" value="0.1" units="cm"/>
      <inkml:brushProperty name="height" value="0.1" units="cm"/>
      <inkml:brushProperty name="color" value="#E71224"/>
    </inkml:brush>
  </inkml:definitions>
  <inkml:trace contextRef="#ctx0" brushRef="#br0">0 0 0</inkml:trace>
</inkml:ink>
</file>

<file path=xl/ink/ink6.xml><?xml version="1.0" encoding="utf-8"?>
<inkml:ink xmlns:inkml="http://www.w3.org/2003/InkML">
  <inkml:definitions>
    <inkml:context xml:id="ctx0">
      <inkml:inkSource xml:id="inkSrc0">
        <inkml:traceFormat>
          <inkml:channel name="X" type="integer" max="4480" units="cm"/>
          <inkml:channel name="Y" type="integer" min="-687" max="1080" units="cm"/>
          <inkml:channel name="T" type="integer" max="2.14748E9" units="dev"/>
        </inkml:traceFormat>
        <inkml:channelProperties>
          <inkml:channelProperty channel="X" name="resolution" value="130.23256" units="1/cm"/>
          <inkml:channelProperty channel="Y" name="resolution" value="91.08247" units="1/cm"/>
          <inkml:channelProperty channel="T" name="resolution" value="1" units="1/dev"/>
        </inkml:channelProperties>
      </inkml:inkSource>
      <inkml:timestamp xml:id="ts0" timeString="2021-12-21T21:08:53.710"/>
    </inkml:context>
    <inkml:brush xml:id="br0">
      <inkml:brushProperty name="width" value="0.1" units="cm"/>
      <inkml:brushProperty name="height" value="0.1" units="cm"/>
      <inkml:brushProperty name="color" value="#E71224"/>
    </inkml:brush>
  </inkml:definitions>
  <inkml:trace contextRef="#ctx0" brushRef="#br0">0 0 0,'0'0'0,"0"27"16,26-27-16,1 26 0,-1-26 0,1 0 0,-1 0 0,-26 27 0,27-27 0</inkml:trace>
</inkml:ink>
</file>

<file path=xl/persons/person.xml><?xml version="1.0" encoding="utf-8"?>
<personList xmlns="http://schemas.microsoft.com/office/spreadsheetml/2018/threadedcomments" xmlns:x="http://schemas.openxmlformats.org/spreadsheetml/2006/main">
  <person displayName="Nicholas Dombrosky" id="{A7B91028-AA52-4BD7-87C9-7805287316DA}" userId="S::ndombrosky@franklinenergy.com::b3bd36ee-4cee-4fc8-9bd7-97ae5f69461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27" dT="2023-08-02T11:00:58.51" personId="{A7B91028-AA52-4BD7-87C9-7805287316DA}" id="{2C65B70B-BBC5-4C85-89B5-E0C66D8829EB}">
    <text>The Consumer equipment baseline eff comes from the IMP Guidance 2022-02-12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tint="4.9989318521683403E-2"/>
    <pageSetUpPr fitToPage="1"/>
  </sheetPr>
  <dimension ref="B1:N61"/>
  <sheetViews>
    <sheetView tabSelected="1" topLeftCell="A10" workbookViewId="0">
      <selection activeCell="O11" sqref="O11"/>
    </sheetView>
  </sheetViews>
  <sheetFormatPr defaultColWidth="9.140625" defaultRowHeight="15"/>
  <cols>
    <col min="1" max="1" width="2.140625" style="200" customWidth="1"/>
    <col min="2" max="3" width="5.42578125" style="200" customWidth="1"/>
    <col min="4" max="4" width="6.42578125" style="200" customWidth="1"/>
    <col min="5" max="6" width="6.140625" style="200" customWidth="1"/>
    <col min="7" max="7" width="16.5703125" style="200" customWidth="1"/>
    <col min="8" max="8" width="15" style="200" customWidth="1"/>
    <col min="9" max="9" width="9.5703125" style="200" customWidth="1"/>
    <col min="10" max="11" width="4.28515625" style="200" customWidth="1"/>
    <col min="12" max="12" width="9.140625" style="200" customWidth="1"/>
    <col min="13" max="13" width="6" style="200" customWidth="1"/>
    <col min="14" max="14" width="5.5703125" style="200" customWidth="1"/>
    <col min="15" max="16384" width="9.140625" style="200"/>
  </cols>
  <sheetData>
    <row r="1" spans="2:14" ht="12.75" customHeight="1"/>
    <row r="2" spans="2:14" ht="24" customHeight="1" thickBot="1"/>
    <row r="3" spans="2:14" ht="53.25" customHeight="1">
      <c r="B3" s="250"/>
      <c r="C3" s="251"/>
      <c r="D3" s="251"/>
      <c r="E3" s="251"/>
      <c r="F3" s="251"/>
      <c r="G3" s="253"/>
      <c r="H3" s="252"/>
      <c r="I3" s="252"/>
      <c r="J3" s="254"/>
      <c r="K3" s="254"/>
      <c r="L3" s="254"/>
      <c r="M3" s="255"/>
    </row>
    <row r="4" spans="2:14" ht="1.5" customHeight="1">
      <c r="B4" s="664"/>
      <c r="C4" s="665"/>
      <c r="D4" s="665"/>
      <c r="E4" s="665"/>
      <c r="F4" s="665"/>
      <c r="G4" s="665"/>
      <c r="H4" s="665"/>
      <c r="I4" s="665"/>
      <c r="J4" s="665"/>
      <c r="K4" s="665"/>
      <c r="L4" s="665"/>
      <c r="M4" s="666"/>
    </row>
    <row r="5" spans="2:14" ht="12" customHeight="1">
      <c r="B5" s="298"/>
      <c r="C5" s="299"/>
      <c r="D5" s="299"/>
      <c r="E5" s="299"/>
      <c r="F5" s="299"/>
      <c r="G5" s="300"/>
      <c r="H5" s="300"/>
      <c r="I5" s="667" t="s">
        <v>0</v>
      </c>
      <c r="J5" s="667"/>
      <c r="K5" s="667"/>
      <c r="L5" s="667"/>
      <c r="M5" s="301" t="s">
        <v>1033</v>
      </c>
    </row>
    <row r="6" spans="2:14" ht="37.5" customHeight="1">
      <c r="B6" s="661" t="s">
        <v>1</v>
      </c>
      <c r="C6" s="662"/>
      <c r="D6" s="662"/>
      <c r="E6" s="662"/>
      <c r="F6" s="662"/>
      <c r="G6" s="662"/>
      <c r="H6" s="662"/>
      <c r="I6" s="662"/>
      <c r="J6" s="662"/>
      <c r="K6" s="662"/>
      <c r="L6" s="662"/>
      <c r="M6" s="663"/>
    </row>
    <row r="7" spans="2:14" ht="37.5" customHeight="1">
      <c r="B7" s="661"/>
      <c r="C7" s="662"/>
      <c r="D7" s="662"/>
      <c r="E7" s="662"/>
      <c r="F7" s="662"/>
      <c r="G7" s="662"/>
      <c r="H7" s="662"/>
      <c r="I7" s="662"/>
      <c r="J7" s="662"/>
      <c r="K7" s="662"/>
      <c r="L7" s="662"/>
      <c r="M7" s="663"/>
    </row>
    <row r="8" spans="2:14" ht="6" customHeight="1">
      <c r="B8" s="661"/>
      <c r="C8" s="662"/>
      <c r="D8" s="662"/>
      <c r="E8" s="662"/>
      <c r="F8" s="662"/>
      <c r="G8" s="662"/>
      <c r="H8" s="662"/>
      <c r="I8" s="662"/>
      <c r="J8" s="662"/>
      <c r="K8" s="662"/>
      <c r="L8" s="662"/>
      <c r="M8" s="663"/>
    </row>
    <row r="9" spans="2:14" ht="16.5" customHeight="1">
      <c r="B9" s="668" t="s">
        <v>2</v>
      </c>
      <c r="C9" s="669"/>
      <c r="D9" s="669"/>
      <c r="E9" s="669"/>
      <c r="F9" s="669"/>
      <c r="G9" s="669"/>
      <c r="H9" s="669"/>
      <c r="I9" s="669"/>
      <c r="J9" s="669"/>
      <c r="K9" s="669"/>
      <c r="L9" s="669"/>
      <c r="M9" s="670"/>
    </row>
    <row r="10" spans="2:14" ht="25.5" customHeight="1">
      <c r="B10" s="675" t="s">
        <v>3</v>
      </c>
      <c r="C10" s="676"/>
      <c r="D10" s="676"/>
      <c r="E10" s="671" t="s">
        <v>4</v>
      </c>
      <c r="F10" s="671"/>
      <c r="G10" s="671"/>
      <c r="H10" s="671"/>
      <c r="I10" s="671"/>
      <c r="J10" s="671"/>
      <c r="K10" s="671"/>
      <c r="L10" s="671"/>
      <c r="M10" s="672"/>
    </row>
    <row r="11" spans="2:14" ht="25.5" customHeight="1">
      <c r="B11" s="679" t="s">
        <v>5</v>
      </c>
      <c r="C11" s="680"/>
      <c r="D11" s="680"/>
      <c r="E11" s="671" t="s">
        <v>6</v>
      </c>
      <c r="F11" s="671"/>
      <c r="G11" s="671"/>
      <c r="H11" s="671"/>
      <c r="I11" s="671"/>
      <c r="J11" s="671"/>
      <c r="K11" s="671"/>
      <c r="L11" s="671"/>
      <c r="M11" s="672"/>
    </row>
    <row r="12" spans="2:14" ht="25.5" customHeight="1">
      <c r="B12" s="677" t="s">
        <v>7</v>
      </c>
      <c r="C12" s="678"/>
      <c r="D12" s="678"/>
      <c r="E12" s="671" t="s">
        <v>8</v>
      </c>
      <c r="F12" s="671"/>
      <c r="G12" s="671"/>
      <c r="H12" s="671"/>
      <c r="I12" s="671"/>
      <c r="J12" s="671"/>
      <c r="K12" s="671"/>
      <c r="L12" s="671"/>
      <c r="M12" s="672"/>
    </row>
    <row r="13" spans="2:14" ht="25.5" customHeight="1">
      <c r="B13" s="673" t="s">
        <v>9</v>
      </c>
      <c r="C13" s="674"/>
      <c r="D13" s="674"/>
      <c r="E13" s="671" t="s">
        <v>10</v>
      </c>
      <c r="F13" s="671"/>
      <c r="G13" s="671"/>
      <c r="H13" s="671"/>
      <c r="I13" s="671"/>
      <c r="J13" s="671"/>
      <c r="K13" s="671"/>
      <c r="L13" s="671"/>
      <c r="M13" s="672"/>
    </row>
    <row r="14" spans="2:14" ht="16.5" customHeight="1">
      <c r="B14" s="668" t="s">
        <v>11</v>
      </c>
      <c r="C14" s="669"/>
      <c r="D14" s="669"/>
      <c r="E14" s="669"/>
      <c r="F14" s="669"/>
      <c r="G14" s="669"/>
      <c r="H14" s="669"/>
      <c r="I14" s="669"/>
      <c r="J14" s="669"/>
      <c r="K14" s="669"/>
      <c r="L14" s="669"/>
      <c r="M14" s="670"/>
    </row>
    <row r="15" spans="2:14" s="201" customFormat="1" ht="68.25" customHeight="1">
      <c r="B15" s="643" t="s">
        <v>12</v>
      </c>
      <c r="C15" s="644"/>
      <c r="D15" s="644"/>
      <c r="E15" s="644"/>
      <c r="F15" s="644"/>
      <c r="G15" s="645" t="s">
        <v>13</v>
      </c>
      <c r="H15" s="645"/>
      <c r="I15" s="645"/>
      <c r="J15" s="645"/>
      <c r="K15" s="645"/>
      <c r="L15" s="645"/>
      <c r="M15" s="646"/>
      <c r="N15" s="200"/>
    </row>
    <row r="16" spans="2:14" s="201" customFormat="1" ht="69.75" customHeight="1">
      <c r="B16" s="655" t="s">
        <v>14</v>
      </c>
      <c r="C16" s="656"/>
      <c r="D16" s="656"/>
      <c r="E16" s="656"/>
      <c r="F16" s="656"/>
      <c r="G16" s="656"/>
      <c r="H16" s="656"/>
      <c r="I16" s="656"/>
      <c r="J16" s="656"/>
      <c r="K16" s="656"/>
      <c r="L16" s="656"/>
      <c r="M16" s="657"/>
      <c r="N16" s="200"/>
    </row>
    <row r="17" spans="2:14" s="201" customFormat="1" ht="84.75" customHeight="1">
      <c r="B17" s="650" t="s">
        <v>15</v>
      </c>
      <c r="C17" s="651"/>
      <c r="D17" s="651"/>
      <c r="E17" s="651"/>
      <c r="F17" s="652"/>
      <c r="G17" s="647" t="s">
        <v>16</v>
      </c>
      <c r="H17" s="648"/>
      <c r="I17" s="648"/>
      <c r="J17" s="648"/>
      <c r="K17" s="648"/>
      <c r="L17" s="648"/>
      <c r="M17" s="649"/>
      <c r="N17" s="200"/>
    </row>
    <row r="18" spans="2:14" s="201" customFormat="1" ht="84" customHeight="1">
      <c r="B18" s="650" t="s">
        <v>17</v>
      </c>
      <c r="C18" s="651"/>
      <c r="D18" s="651"/>
      <c r="E18" s="651"/>
      <c r="F18" s="652"/>
      <c r="G18" s="647" t="s">
        <v>18</v>
      </c>
      <c r="H18" s="648"/>
      <c r="I18" s="648"/>
      <c r="J18" s="648"/>
      <c r="K18" s="648"/>
      <c r="L18" s="648"/>
      <c r="M18" s="649"/>
      <c r="N18" s="200"/>
    </row>
    <row r="19" spans="2:14" s="201" customFormat="1" ht="108.75" customHeight="1">
      <c r="B19" s="650" t="s">
        <v>19</v>
      </c>
      <c r="C19" s="651"/>
      <c r="D19" s="651"/>
      <c r="E19" s="651"/>
      <c r="F19" s="652"/>
      <c r="G19" s="647" t="s">
        <v>20</v>
      </c>
      <c r="H19" s="648"/>
      <c r="I19" s="648"/>
      <c r="J19" s="648"/>
      <c r="K19" s="648"/>
      <c r="L19" s="648"/>
      <c r="M19" s="649"/>
      <c r="N19" s="200"/>
    </row>
    <row r="20" spans="2:14" s="201" customFormat="1" ht="123.75" customHeight="1">
      <c r="B20" s="650" t="s">
        <v>21</v>
      </c>
      <c r="C20" s="651"/>
      <c r="D20" s="651"/>
      <c r="E20" s="651"/>
      <c r="F20" s="652"/>
      <c r="G20" s="647" t="s">
        <v>22</v>
      </c>
      <c r="H20" s="648"/>
      <c r="I20" s="648"/>
      <c r="J20" s="648"/>
      <c r="K20" s="648"/>
      <c r="L20" s="648"/>
      <c r="M20" s="649"/>
      <c r="N20" s="200"/>
    </row>
    <row r="21" spans="2:14" s="201" customFormat="1" ht="44.25" customHeight="1">
      <c r="B21" s="650" t="s">
        <v>23</v>
      </c>
      <c r="C21" s="651"/>
      <c r="D21" s="651"/>
      <c r="E21" s="651"/>
      <c r="F21" s="652"/>
      <c r="G21" s="647" t="s">
        <v>24</v>
      </c>
      <c r="H21" s="648"/>
      <c r="I21" s="648"/>
      <c r="J21" s="648"/>
      <c r="K21" s="648"/>
      <c r="L21" s="648"/>
      <c r="M21" s="649"/>
    </row>
    <row r="22" spans="2:14" s="201" customFormat="1" ht="39" customHeight="1">
      <c r="B22" s="650" t="s">
        <v>25</v>
      </c>
      <c r="C22" s="651"/>
      <c r="D22" s="651"/>
      <c r="E22" s="651"/>
      <c r="F22" s="652"/>
      <c r="G22" s="647" t="s">
        <v>26</v>
      </c>
      <c r="H22" s="648"/>
      <c r="I22" s="648"/>
      <c r="J22" s="648"/>
      <c r="K22" s="648"/>
      <c r="L22" s="648"/>
      <c r="M22" s="649"/>
    </row>
    <row r="23" spans="2:14" s="201" customFormat="1" ht="131.25" customHeight="1">
      <c r="B23" s="650" t="s">
        <v>27</v>
      </c>
      <c r="C23" s="651"/>
      <c r="D23" s="651"/>
      <c r="E23" s="651"/>
      <c r="F23" s="652"/>
      <c r="G23" s="647" t="s">
        <v>28</v>
      </c>
      <c r="H23" s="648"/>
      <c r="I23" s="648"/>
      <c r="J23" s="648"/>
      <c r="K23" s="648"/>
      <c r="L23" s="648"/>
      <c r="M23" s="649"/>
    </row>
    <row r="24" spans="2:14" s="201" customFormat="1" ht="17.25" hidden="1" customHeight="1">
      <c r="B24" s="650" t="s">
        <v>29</v>
      </c>
      <c r="C24" s="651"/>
      <c r="D24" s="651"/>
      <c r="E24" s="651"/>
      <c r="F24" s="652"/>
      <c r="G24" s="647" t="s">
        <v>30</v>
      </c>
      <c r="H24" s="648"/>
      <c r="I24" s="648"/>
      <c r="J24" s="648"/>
      <c r="K24" s="648"/>
      <c r="L24" s="648"/>
      <c r="M24" s="649"/>
    </row>
    <row r="25" spans="2:14" s="201" customFormat="1" ht="48.75" customHeight="1" thickBot="1">
      <c r="B25" s="658" t="s">
        <v>31</v>
      </c>
      <c r="C25" s="659"/>
      <c r="D25" s="659"/>
      <c r="E25" s="659"/>
      <c r="F25" s="659"/>
      <c r="G25" s="659"/>
      <c r="H25" s="659"/>
      <c r="I25" s="659"/>
      <c r="J25" s="659"/>
      <c r="K25" s="659"/>
      <c r="L25" s="659"/>
      <c r="M25" s="660"/>
      <c r="N25" s="200"/>
    </row>
    <row r="26" spans="2:14" ht="80.25" customHeight="1">
      <c r="B26" s="653"/>
      <c r="C26" s="653"/>
      <c r="D26" s="653"/>
      <c r="E26" s="653"/>
      <c r="F26" s="653"/>
      <c r="G26" s="654"/>
      <c r="H26" s="654"/>
      <c r="I26" s="654"/>
      <c r="J26" s="654"/>
      <c r="K26" s="654"/>
      <c r="L26" s="654"/>
      <c r="M26" s="654"/>
    </row>
    <row r="30" spans="2:14" ht="36.75" customHeight="1"/>
    <row r="31" spans="2:14" ht="36.75" customHeight="1"/>
    <row r="32" spans="2:14" ht="36.75" customHeight="1"/>
    <row r="33" ht="36.75" customHeight="1"/>
    <row r="34" ht="36.75" customHeight="1"/>
    <row r="35" ht="36.75" customHeight="1"/>
    <row r="36" ht="36.75" customHeight="1"/>
    <row r="37" ht="36.75" customHeight="1"/>
    <row r="38" ht="36.75" customHeight="1"/>
    <row r="39" ht="36.75" customHeight="1"/>
    <row r="40" ht="36.75" customHeight="1"/>
    <row r="41" ht="36.75" customHeight="1"/>
    <row r="42" ht="36.75" customHeight="1"/>
    <row r="43" ht="36.75" customHeight="1"/>
    <row r="44" ht="36.75" customHeight="1"/>
    <row r="45" ht="36.75" customHeight="1"/>
    <row r="46" ht="36.75" customHeight="1"/>
    <row r="47" ht="36.75" customHeight="1"/>
    <row r="48" ht="36.75" customHeight="1"/>
    <row r="49" ht="36.75" customHeight="1"/>
    <row r="50" ht="36.75" customHeight="1"/>
    <row r="51" ht="36.75" customHeight="1"/>
    <row r="52" ht="36.75" customHeight="1"/>
    <row r="53" ht="36.75" customHeight="1"/>
    <row r="54" ht="36.75" customHeight="1"/>
    <row r="55" ht="36.75" customHeight="1"/>
    <row r="56" ht="36.75" customHeight="1"/>
    <row r="57" ht="36.75" customHeight="1"/>
    <row r="58" ht="36.75" customHeight="1"/>
    <row r="59" ht="36.75" customHeight="1"/>
    <row r="60" ht="36.75" customHeight="1"/>
    <row r="61" ht="36.75" customHeight="1"/>
  </sheetData>
  <sheetProtection algorithmName="SHA-512" hashValue="BSFsqtBsgGKVbd8xHTYnpmNP1jQAtqP7nyz8k7V8tglNgMf7kcsmgNgFzomE95epNdIUoCaQjccVJi/JKKaFnQ==" saltValue="0l0thR+8I5lPWwfkTbPCmQ==" spinCount="100000" sheet="1" selectLockedCells="1"/>
  <mergeCells count="35">
    <mergeCell ref="B13:D13"/>
    <mergeCell ref="B10:D10"/>
    <mergeCell ref="B14:M14"/>
    <mergeCell ref="E11:M11"/>
    <mergeCell ref="B12:D12"/>
    <mergeCell ref="E13:M13"/>
    <mergeCell ref="E12:M12"/>
    <mergeCell ref="B11:D11"/>
    <mergeCell ref="B6:M8"/>
    <mergeCell ref="B4:M4"/>
    <mergeCell ref="I5:L5"/>
    <mergeCell ref="B9:M9"/>
    <mergeCell ref="E10:M10"/>
    <mergeCell ref="B26:F26"/>
    <mergeCell ref="G26:M26"/>
    <mergeCell ref="B16:M16"/>
    <mergeCell ref="G22:M22"/>
    <mergeCell ref="B24:F24"/>
    <mergeCell ref="G24:M24"/>
    <mergeCell ref="G19:M19"/>
    <mergeCell ref="B20:F20"/>
    <mergeCell ref="G20:M20"/>
    <mergeCell ref="B21:F21"/>
    <mergeCell ref="G21:M21"/>
    <mergeCell ref="B25:M25"/>
    <mergeCell ref="B17:F17"/>
    <mergeCell ref="G17:M17"/>
    <mergeCell ref="B23:F23"/>
    <mergeCell ref="G23:M23"/>
    <mergeCell ref="B15:F15"/>
    <mergeCell ref="G15:M15"/>
    <mergeCell ref="G18:M18"/>
    <mergeCell ref="B22:F22"/>
    <mergeCell ref="B19:F19"/>
    <mergeCell ref="B18:F18"/>
  </mergeCells>
  <pageMargins left="0.7" right="0.7" top="0.75" bottom="0.75" header="0.3" footer="0.3"/>
  <pageSetup scale="88" fitToHeight="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V403"/>
  <sheetViews>
    <sheetView workbookViewId="0">
      <selection activeCell="AA11" sqref="AA11"/>
    </sheetView>
  </sheetViews>
  <sheetFormatPr defaultRowHeight="15"/>
  <cols>
    <col min="1" max="1" width="1.42578125" customWidth="1"/>
    <col min="2" max="2" width="7.7109375" customWidth="1"/>
    <col min="3" max="3" width="33.140625" bestFit="1" customWidth="1"/>
    <col min="4" max="4" width="19" customWidth="1"/>
    <col min="5" max="5" width="36" customWidth="1"/>
    <col min="6" max="6" width="20" customWidth="1"/>
    <col min="7" max="7" width="21.42578125" customWidth="1"/>
    <col min="8" max="8" width="26.28515625" customWidth="1"/>
    <col min="9" max="9" width="24.28515625" customWidth="1"/>
    <col min="10" max="13" width="17.28515625" customWidth="1"/>
    <col min="14" max="14" width="17.42578125" bestFit="1" customWidth="1"/>
    <col min="15" max="15" width="12.28515625" hidden="1" customWidth="1"/>
    <col min="16" max="16" width="13.140625" hidden="1" customWidth="1"/>
    <col min="17" max="17" width="10.85546875" customWidth="1"/>
    <col min="18" max="18" width="10.85546875" hidden="1" customWidth="1"/>
    <col min="19" max="19" width="11.7109375" hidden="1" customWidth="1"/>
    <col min="20" max="20" width="9.85546875" hidden="1" customWidth="1"/>
    <col min="21" max="21" width="9.28515625" hidden="1" customWidth="1"/>
    <col min="22" max="22" width="8.7109375" hidden="1" customWidth="1"/>
    <col min="23" max="23" width="9.7109375" hidden="1" customWidth="1"/>
    <col min="24" max="24" width="12.28515625" hidden="1" customWidth="1"/>
    <col min="25" max="26" width="8.7109375" customWidth="1"/>
    <col min="27" max="29" width="10.85546875" customWidth="1"/>
    <col min="30" max="30" width="14.28515625" customWidth="1"/>
    <col min="31" max="31" width="14.140625" hidden="1" customWidth="1"/>
    <col min="32" max="32" width="13.140625" customWidth="1"/>
    <col min="33" max="33" width="15.7109375" customWidth="1"/>
    <col min="34" max="34" width="32.28515625" hidden="1" customWidth="1"/>
    <col min="35" max="36" width="12.85546875" hidden="1" customWidth="1"/>
    <col min="37" max="37" width="34.42578125" hidden="1" customWidth="1"/>
  </cols>
  <sheetData>
    <row r="1" spans="1:48" s="120" customFormat="1" ht="29.25" customHeight="1">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197" t="s">
        <v>541</v>
      </c>
      <c r="AL1" s="11"/>
      <c r="AM1" s="11"/>
      <c r="AN1" s="11"/>
      <c r="AO1" s="11"/>
      <c r="AP1" s="11"/>
      <c r="AQ1" s="11"/>
      <c r="AR1" s="11"/>
      <c r="AS1" s="11"/>
      <c r="AT1" s="11"/>
      <c r="AU1" s="11"/>
      <c r="AV1" s="11"/>
    </row>
    <row r="2" spans="1:48" s="120" customFormat="1" ht="45" customHeight="1">
      <c r="A2" s="53"/>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53"/>
      <c r="AH2" s="163"/>
      <c r="AI2" s="163"/>
      <c r="AJ2" s="11"/>
      <c r="AK2" s="11"/>
      <c r="AL2" s="11"/>
      <c r="AM2" s="11"/>
      <c r="AN2" s="11"/>
      <c r="AO2" s="11"/>
      <c r="AP2" s="11"/>
      <c r="AQ2" s="11"/>
      <c r="AR2" s="11"/>
      <c r="AS2" s="11"/>
      <c r="AT2" s="11"/>
      <c r="AU2" s="11"/>
      <c r="AV2" s="11"/>
    </row>
    <row r="3" spans="1:48" s="120" customFormat="1" ht="45" customHeight="1">
      <c r="A3" s="53"/>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1"/>
      <c r="AL3" s="11"/>
      <c r="AM3" s="11"/>
      <c r="AN3" s="11"/>
      <c r="AO3" s="11"/>
      <c r="AP3" s="11"/>
      <c r="AQ3" s="11"/>
      <c r="AR3" s="11"/>
      <c r="AS3" s="11"/>
      <c r="AT3" s="11"/>
      <c r="AU3" s="11"/>
      <c r="AV3" s="11"/>
    </row>
    <row r="4" spans="1:48" s="120" customFormat="1" ht="9.75" customHeight="1">
      <c r="A4" s="53"/>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1"/>
      <c r="AL4" s="11"/>
      <c r="AM4" s="11"/>
      <c r="AN4" s="11"/>
      <c r="AO4" s="11"/>
      <c r="AP4" s="11"/>
      <c r="AQ4" s="11"/>
      <c r="AR4" s="11"/>
      <c r="AS4" s="11"/>
      <c r="AT4" s="11"/>
      <c r="AU4" s="11"/>
      <c r="AV4" s="11"/>
    </row>
    <row r="5" spans="1:48" s="120" customFormat="1" ht="1.5" customHeight="1">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11"/>
      <c r="AL5" s="11"/>
      <c r="AM5" s="11"/>
      <c r="AN5" s="11"/>
      <c r="AO5" s="11"/>
      <c r="AP5" s="11"/>
      <c r="AQ5" s="11"/>
      <c r="AR5" s="11"/>
      <c r="AS5" s="11"/>
      <c r="AT5" s="11"/>
      <c r="AU5" s="11"/>
      <c r="AV5" s="11"/>
    </row>
    <row r="6" spans="1:48" s="120" customFormat="1" ht="15" customHeight="1">
      <c r="A6" s="53"/>
      <c r="B6" s="163"/>
      <c r="C6" s="163"/>
      <c r="D6" s="779" t="s">
        <v>542</v>
      </c>
      <c r="E6" s="780"/>
      <c r="F6" s="780"/>
      <c r="G6" s="781"/>
      <c r="H6" s="779" t="s">
        <v>324</v>
      </c>
      <c r="I6" s="780"/>
      <c r="J6" s="779" t="s">
        <v>492</v>
      </c>
      <c r="K6" s="780"/>
      <c r="L6" s="780"/>
      <c r="M6" s="780"/>
      <c r="N6" s="780"/>
      <c r="O6" s="780"/>
      <c r="P6" s="780"/>
      <c r="Q6" s="780"/>
      <c r="R6" s="780"/>
      <c r="S6" s="780"/>
      <c r="T6" s="780"/>
      <c r="U6" s="780"/>
      <c r="V6" s="780"/>
      <c r="W6" s="780"/>
      <c r="X6" s="780"/>
      <c r="Y6" s="780"/>
      <c r="Z6" s="780"/>
      <c r="AA6" s="780"/>
      <c r="AB6" s="234"/>
      <c r="AC6" s="234"/>
      <c r="AD6" s="163"/>
      <c r="AE6" s="163"/>
      <c r="AF6" s="163"/>
      <c r="AG6" s="163"/>
      <c r="AH6" s="221"/>
      <c r="AI6" s="221"/>
      <c r="AJ6" s="221"/>
      <c r="AK6" s="11"/>
      <c r="AL6" s="11"/>
      <c r="AM6" s="11"/>
      <c r="AN6" s="11"/>
      <c r="AO6" s="11"/>
      <c r="AP6" s="11"/>
      <c r="AQ6" s="11"/>
      <c r="AR6" s="11"/>
      <c r="AS6" s="11"/>
      <c r="AT6" s="11"/>
      <c r="AU6" s="11"/>
      <c r="AV6" s="11"/>
    </row>
    <row r="7" spans="1:48" s="120" customFormat="1" ht="6" customHeight="1">
      <c r="A7" s="53"/>
      <c r="B7" s="696" t="s">
        <v>64</v>
      </c>
      <c r="C7" s="696" t="s">
        <v>65</v>
      </c>
      <c r="D7" s="719" t="s">
        <v>115</v>
      </c>
      <c r="E7" s="696" t="s">
        <v>543</v>
      </c>
      <c r="F7" s="696" t="s">
        <v>117</v>
      </c>
      <c r="G7" s="712" t="s">
        <v>118</v>
      </c>
      <c r="H7" s="696" t="s">
        <v>544</v>
      </c>
      <c r="I7" s="696" t="s">
        <v>545</v>
      </c>
      <c r="J7" s="719" t="s">
        <v>186</v>
      </c>
      <c r="K7" s="696" t="s">
        <v>495</v>
      </c>
      <c r="L7" s="696" t="s">
        <v>402</v>
      </c>
      <c r="M7" s="457"/>
      <c r="N7" s="696" t="s">
        <v>546</v>
      </c>
      <c r="O7" s="698" t="s">
        <v>81</v>
      </c>
      <c r="P7" s="698" t="s">
        <v>82</v>
      </c>
      <c r="Q7" s="696" t="s">
        <v>136</v>
      </c>
      <c r="R7" s="457"/>
      <c r="S7" s="698" t="s">
        <v>547</v>
      </c>
      <c r="T7" s="698" t="s">
        <v>548</v>
      </c>
      <c r="U7" s="698" t="s">
        <v>549</v>
      </c>
      <c r="V7" s="698" t="s">
        <v>550</v>
      </c>
      <c r="W7" s="698" t="s">
        <v>551</v>
      </c>
      <c r="X7" s="698" t="s">
        <v>552</v>
      </c>
      <c r="Y7" s="719" t="s">
        <v>553</v>
      </c>
      <c r="Z7" s="696"/>
      <c r="AA7" s="712"/>
      <c r="AB7" s="719" t="s">
        <v>179</v>
      </c>
      <c r="AC7" s="719" t="s">
        <v>554</v>
      </c>
      <c r="AD7" s="696" t="s">
        <v>88</v>
      </c>
      <c r="AE7" s="698" t="s">
        <v>204</v>
      </c>
      <c r="AF7" s="696" t="s">
        <v>89</v>
      </c>
      <c r="AG7" s="696" t="s">
        <v>509</v>
      </c>
      <c r="AH7" s="698" t="s">
        <v>132</v>
      </c>
      <c r="AI7" s="698" t="s">
        <v>133</v>
      </c>
      <c r="AJ7" s="698" t="s">
        <v>134</v>
      </c>
      <c r="AK7" s="11"/>
      <c r="AL7" s="11"/>
      <c r="AM7" s="11"/>
      <c r="AN7" s="11"/>
      <c r="AO7" s="11"/>
      <c r="AP7" s="11"/>
      <c r="AQ7" s="11"/>
      <c r="AR7" s="11"/>
      <c r="AS7" s="11"/>
      <c r="AT7" s="11"/>
      <c r="AU7" s="11"/>
      <c r="AV7" s="11"/>
    </row>
    <row r="8" spans="1:48" s="120" customFormat="1" ht="17.25" customHeight="1">
      <c r="A8" s="53"/>
      <c r="B8" s="696"/>
      <c r="C8" s="696"/>
      <c r="D8" s="719"/>
      <c r="E8" s="696"/>
      <c r="F8" s="696"/>
      <c r="G8" s="712"/>
      <c r="H8" s="696"/>
      <c r="I8" s="696"/>
      <c r="J8" s="719"/>
      <c r="K8" s="696"/>
      <c r="L8" s="696"/>
      <c r="M8" s="457" t="s">
        <v>354</v>
      </c>
      <c r="N8" s="696"/>
      <c r="O8" s="698"/>
      <c r="P8" s="698"/>
      <c r="Q8" s="696"/>
      <c r="R8" s="698" t="s">
        <v>1031</v>
      </c>
      <c r="S8" s="698"/>
      <c r="T8" s="698"/>
      <c r="U8" s="698"/>
      <c r="V8" s="698"/>
      <c r="W8" s="698"/>
      <c r="X8" s="698"/>
      <c r="Y8" s="719"/>
      <c r="Z8" s="696"/>
      <c r="AA8" s="712"/>
      <c r="AB8" s="719"/>
      <c r="AC8" s="719"/>
      <c r="AD8" s="696"/>
      <c r="AE8" s="698"/>
      <c r="AF8" s="696"/>
      <c r="AG8" s="696"/>
      <c r="AH8" s="698"/>
      <c r="AI8" s="698"/>
      <c r="AJ8" s="698"/>
      <c r="AK8" s="11"/>
      <c r="AL8" s="11"/>
      <c r="AM8" s="11"/>
      <c r="AN8" s="11"/>
      <c r="AO8" s="11"/>
      <c r="AP8" s="11"/>
      <c r="AQ8" s="11"/>
      <c r="AR8" s="11"/>
      <c r="AS8" s="11"/>
      <c r="AT8" s="11"/>
      <c r="AU8" s="11"/>
      <c r="AV8" s="11"/>
    </row>
    <row r="9" spans="1:48" s="120" customFormat="1" ht="17.25" customHeight="1">
      <c r="A9" s="53"/>
      <c r="B9" s="696"/>
      <c r="C9" s="696"/>
      <c r="D9" s="723"/>
      <c r="E9" s="724"/>
      <c r="F9" s="724"/>
      <c r="G9" s="742"/>
      <c r="H9" s="696"/>
      <c r="I9" s="696"/>
      <c r="J9" s="723"/>
      <c r="K9" s="724"/>
      <c r="L9" s="724"/>
      <c r="M9" s="477"/>
      <c r="N9" s="724"/>
      <c r="O9" s="760"/>
      <c r="P9" s="760"/>
      <c r="Q9" s="724"/>
      <c r="R9" s="698"/>
      <c r="S9" s="760"/>
      <c r="T9" s="760"/>
      <c r="U9" s="760"/>
      <c r="V9" s="760"/>
      <c r="W9" s="760"/>
      <c r="X9" s="760"/>
      <c r="Y9" s="723" t="s">
        <v>92</v>
      </c>
      <c r="Z9" s="742"/>
      <c r="AA9" s="592" t="s">
        <v>93</v>
      </c>
      <c r="AB9" s="723"/>
      <c r="AC9" s="723"/>
      <c r="AD9" s="724"/>
      <c r="AE9" s="760"/>
      <c r="AF9" s="724"/>
      <c r="AG9" s="696"/>
      <c r="AH9" s="698"/>
      <c r="AI9" s="698"/>
      <c r="AJ9" s="698"/>
      <c r="AK9" s="11"/>
      <c r="AL9" s="11"/>
      <c r="AM9" s="11"/>
      <c r="AN9" s="11"/>
      <c r="AO9" s="11"/>
      <c r="AP9" s="11"/>
      <c r="AQ9" s="11"/>
      <c r="AR9" s="11"/>
      <c r="AS9" s="11"/>
      <c r="AT9" s="11"/>
      <c r="AU9" s="11"/>
      <c r="AV9" s="11"/>
    </row>
    <row r="10" spans="1:48" s="120" customFormat="1" ht="18" hidden="1" customHeight="1">
      <c r="A10" s="53"/>
      <c r="B10" s="481" t="s">
        <v>211</v>
      </c>
      <c r="C10" s="481"/>
      <c r="D10" s="483" t="s">
        <v>212</v>
      </c>
      <c r="E10" s="483" t="s">
        <v>213</v>
      </c>
      <c r="F10" s="483"/>
      <c r="G10" s="483"/>
      <c r="H10" s="481" t="s">
        <v>214</v>
      </c>
      <c r="I10" s="481" t="s">
        <v>216</v>
      </c>
      <c r="J10" s="483" t="s">
        <v>137</v>
      </c>
      <c r="K10" s="483" t="s">
        <v>220</v>
      </c>
      <c r="L10" s="483" t="s">
        <v>223</v>
      </c>
      <c r="M10" s="483" t="s">
        <v>221</v>
      </c>
      <c r="N10" s="483" t="s">
        <v>224</v>
      </c>
      <c r="O10" s="483"/>
      <c r="P10" s="483"/>
      <c r="Q10" s="483" t="s">
        <v>42</v>
      </c>
      <c r="R10" s="760"/>
      <c r="S10" s="483"/>
      <c r="T10" s="483"/>
      <c r="U10" s="483"/>
      <c r="V10" s="483"/>
      <c r="W10" s="483"/>
      <c r="X10" s="483"/>
      <c r="Y10" s="483"/>
      <c r="Z10" s="483"/>
      <c r="AA10" s="481" t="s">
        <v>555</v>
      </c>
      <c r="AB10" s="481" t="s">
        <v>226</v>
      </c>
      <c r="AC10" s="483" t="s">
        <v>227</v>
      </c>
      <c r="AD10" s="481" t="s">
        <v>228</v>
      </c>
      <c r="AE10" s="481" t="s">
        <v>230</v>
      </c>
      <c r="AF10" s="481" t="s">
        <v>229</v>
      </c>
      <c r="AG10" s="595" t="s">
        <v>231</v>
      </c>
      <c r="AH10" s="495"/>
      <c r="AI10" s="495"/>
      <c r="AJ10" s="481" t="s">
        <v>232</v>
      </c>
      <c r="AK10" s="11"/>
      <c r="AL10" s="11"/>
      <c r="AM10" s="11"/>
      <c r="AN10" s="11"/>
      <c r="AO10" s="11"/>
      <c r="AP10" s="11"/>
      <c r="AQ10" s="11"/>
      <c r="AR10" s="11"/>
      <c r="AS10" s="11"/>
      <c r="AT10" s="11"/>
      <c r="AU10" s="11"/>
      <c r="AV10" s="11"/>
    </row>
    <row r="11" spans="1:48" s="120" customFormat="1" ht="19.5" customHeight="1">
      <c r="A11" s="53"/>
      <c r="B11" s="18">
        <v>1</v>
      </c>
      <c r="C11" s="19" t="s">
        <v>556</v>
      </c>
      <c r="D11" s="31"/>
      <c r="E11" s="168"/>
      <c r="F11" s="31"/>
      <c r="G11" s="149" t="str">
        <f>IFERROR(VLOOKUP(F11, 'Lookup Tables'!$B$5:$C$2226, 2, FALSE), "")</f>
        <v/>
      </c>
      <c r="H11" s="31"/>
      <c r="I11" s="238"/>
      <c r="J11" s="32"/>
      <c r="K11" s="32"/>
      <c r="L11" s="32"/>
      <c r="M11" s="32"/>
      <c r="N11" s="368"/>
      <c r="O11" s="231" t="str">
        <f>IFERROR(VLOOKUP(E11, 'Lookup Tables'!$AC$5:$AL$27, MATCH(G11, 'Lookup Tables'!$AD$5:$AL$5,1)+1, FALSE),"")</f>
        <v/>
      </c>
      <c r="P11" s="231" t="str">
        <f>IFERROR(VLOOKUP(E11, 'Lookup Tables'!$G$5:$P$19, MATCH(G11, 'Lookup Tables'!$H$5:$P$5,1)+1, FALSE),"")</f>
        <v/>
      </c>
      <c r="Q11" s="32"/>
      <c r="R11" s="231" cm="1">
        <f t="array" ref="R11">_xlfn.IFS(N11&lt;7000,7000,AND(N11&gt;=7000,N11&lt;=15000),N11,N11&gt;15000,15000)</f>
        <v>7000</v>
      </c>
      <c r="S11" s="157">
        <f>$F$24+($F$25*(R11/1000))</f>
        <v>9.4090000000000007</v>
      </c>
      <c r="T11" s="157">
        <f>$G$24+($G$25*(R11/1000))</f>
        <v>11.9</v>
      </c>
      <c r="U11" s="157" t="str">
        <f>IF(D11="","",IF(D11="New Construction",T11,S11))</f>
        <v/>
      </c>
      <c r="V11" s="157" t="str">
        <f>IF(AND(H11&lt;$C$22,D11="Replacement"),IF(I11="",U11, I11),U11)</f>
        <v/>
      </c>
      <c r="W11" s="157">
        <f>$H$24+($H$25*(R11/1000))</f>
        <v>10.114675</v>
      </c>
      <c r="X11" s="157">
        <f>$I$24+($I$25*(R11/1000))</f>
        <v>12.792499999999999</v>
      </c>
      <c r="Y11" s="226" t="str">
        <f>IF(OR(D11="",N11=""),"",ROUND(IF(D11="Replacement", W11, X11), 1))</f>
        <v/>
      </c>
      <c r="Z11" s="239" t="str">
        <f>IF(Y11="", "", "EER")</f>
        <v/>
      </c>
      <c r="AA11" s="122"/>
      <c r="AB11" s="594" t="str">
        <f t="shared" ref="AB11:AB18" si="0">IFERROR(ROUND(IF(OR(D11="",N11="", G11=""), "", ((N11/1000)*((1/V11)-(1/AA11))*Q11)),6),"")</f>
        <v/>
      </c>
      <c r="AC11" s="506" t="str">
        <f t="shared" ref="AC11:AC18" si="1">IFERROR(ROUND(IF(OR(D11="",N11="", G11=""), "", ((N11/1000)*((1/V11)-(1/AA11))*O11*Q11)),6),"")</f>
        <v/>
      </c>
      <c r="AD11" s="500" t="str">
        <f t="shared" ref="AD11:AD18" si="2">IFERROR(ROUND(IF(OR(D11="",N11="", G11=""), "", ((N11/1000)*((1/V11)-(1/AA11))*P11*Q11)),4),"")</f>
        <v/>
      </c>
      <c r="AE11" s="500" t="str">
        <f t="shared" ref="AE11:AE18" si="3">IF(L11="","",L11)</f>
        <v/>
      </c>
      <c r="AF11" s="160" t="str">
        <f>IFERROR(ROUND(IF(OR(D11="",AA11="", AG11="No"), "", MIN(AE11,Q11*(N11/12000)*$J$24)),2),"")</f>
        <v/>
      </c>
      <c r="AG11" s="21" t="str">
        <f t="shared" ref="AG11:AG18" si="4">IFERROR(IF(OR(AA11&lt;Y11,((N11/1000)*((1/V11)-(1/AA11))*P11*Q11)&lt;0), "No", "Yes"),"")</f>
        <v/>
      </c>
      <c r="AH11" s="133" t="str">
        <f t="shared" ref="AH11:AH18" si="5">IF(D11="", "", $N$24)</f>
        <v/>
      </c>
      <c r="AI11" s="21" t="str">
        <f t="shared" ref="AI11:AI18" si="6">IF(D11="", "", $O$24)</f>
        <v/>
      </c>
      <c r="AJ11" s="21" t="str">
        <f t="shared" ref="AJ11:AJ18" si="7">IF(D11="", "", $M$24)</f>
        <v/>
      </c>
      <c r="AK11" s="11"/>
      <c r="AL11" s="11"/>
      <c r="AM11" s="11"/>
      <c r="AN11" s="11"/>
      <c r="AO11" s="11"/>
      <c r="AP11" s="11"/>
      <c r="AQ11" s="11"/>
      <c r="AR11" s="11"/>
      <c r="AS11" s="11"/>
      <c r="AT11" s="11"/>
      <c r="AU11" s="11"/>
      <c r="AV11" s="11"/>
    </row>
    <row r="12" spans="1:48" s="120" customFormat="1" ht="19.5" customHeight="1">
      <c r="A12" s="53"/>
      <c r="B12" s="18">
        <v>2</v>
      </c>
      <c r="C12" s="19" t="s">
        <v>556</v>
      </c>
      <c r="D12" s="31"/>
      <c r="E12" s="168"/>
      <c r="F12" s="31"/>
      <c r="G12" s="149" t="str">
        <f>IFERROR(VLOOKUP(F12, 'Lookup Tables'!$B$5:$C$2226, 2, FALSE), "")</f>
        <v/>
      </c>
      <c r="H12" s="31"/>
      <c r="I12" s="238"/>
      <c r="J12" s="32"/>
      <c r="K12" s="32"/>
      <c r="L12" s="32"/>
      <c r="M12" s="32"/>
      <c r="N12" s="368"/>
      <c r="O12" s="231" t="str">
        <f>IFERROR(VLOOKUP(E12, 'Lookup Tables'!$AC$5:$AL$27, MATCH(G12, 'Lookup Tables'!$AD$5:$AL$5,1)+1, FALSE),"")</f>
        <v/>
      </c>
      <c r="P12" s="231" t="str">
        <f>IFERROR(VLOOKUP(E12, 'Lookup Tables'!$G$5:$P$19, MATCH(G12, 'Lookup Tables'!$H$5:$P$5,1)+1, FALSE),"")</f>
        <v/>
      </c>
      <c r="Q12" s="32"/>
      <c r="R12" s="231" cm="1">
        <f t="array" ref="R12">_xlfn.IFS(N12&lt;7000,7000,AND(N12&gt;=7000,N12&lt;=15000),N12,N12&gt;15000,15000)</f>
        <v>7000</v>
      </c>
      <c r="S12" s="157">
        <f t="shared" ref="S12:S18" si="8">$F$24+($F$25*(R12/1000))</f>
        <v>9.4090000000000007</v>
      </c>
      <c r="T12" s="157">
        <f t="shared" ref="T12:T18" si="9">$G$24+($G$25*(R12/1000))</f>
        <v>11.9</v>
      </c>
      <c r="U12" s="157" t="str">
        <f t="shared" ref="U12:U18" si="10">IF(D12="","",IF(D12="New Construction",T12,S12))</f>
        <v/>
      </c>
      <c r="V12" s="157" t="str">
        <f t="shared" ref="V12:V18" si="11">IF(AND(H12&lt;$C$22,D12="Replacement"),IF(I12="",U12, I12),U12)</f>
        <v/>
      </c>
      <c r="W12" s="157">
        <f t="shared" ref="W12:W18" si="12">$H$24+($H$25*(R12/1000))</f>
        <v>10.114675</v>
      </c>
      <c r="X12" s="157">
        <f t="shared" ref="X12:X18" si="13">$I$24+($I$25*(R12/1000))</f>
        <v>12.792499999999999</v>
      </c>
      <c r="Y12" s="226" t="str">
        <f t="shared" ref="Y12:Y18" si="14">IF(OR(D12="",N12=""),"",ROUND(IF(D12="Replacement", W12, X12), 1))</f>
        <v/>
      </c>
      <c r="Z12" s="239" t="str">
        <f t="shared" ref="Z12:Z18" si="15">IF(Y12="", "", "EER")</f>
        <v/>
      </c>
      <c r="AA12" s="122"/>
      <c r="AB12" s="594" t="str">
        <f t="shared" si="0"/>
        <v/>
      </c>
      <c r="AC12" s="506" t="str">
        <f t="shared" si="1"/>
        <v/>
      </c>
      <c r="AD12" s="500" t="str">
        <f t="shared" si="2"/>
        <v/>
      </c>
      <c r="AE12" s="500" t="str">
        <f t="shared" si="3"/>
        <v/>
      </c>
      <c r="AF12" s="160" t="str">
        <f t="shared" ref="AF12:AF18" si="16">IFERROR(ROUND(IF(OR(D12="",AA12="", AG12="No"), "", MIN(AE12,Q12*(N12/12000)*$J$24)),2),"")</f>
        <v/>
      </c>
      <c r="AG12" s="21" t="str">
        <f t="shared" si="4"/>
        <v/>
      </c>
      <c r="AH12" s="133" t="str">
        <f t="shared" si="5"/>
        <v/>
      </c>
      <c r="AI12" s="21" t="str">
        <f t="shared" si="6"/>
        <v/>
      </c>
      <c r="AJ12" s="21" t="str">
        <f t="shared" si="7"/>
        <v/>
      </c>
      <c r="AK12" s="11"/>
      <c r="AL12" s="11"/>
      <c r="AM12" s="11"/>
      <c r="AN12" s="11"/>
      <c r="AO12" s="11"/>
      <c r="AP12" s="11"/>
      <c r="AQ12" s="11"/>
      <c r="AR12" s="11"/>
      <c r="AS12" s="11"/>
      <c r="AT12" s="11"/>
      <c r="AU12" s="11"/>
      <c r="AV12" s="11"/>
    </row>
    <row r="13" spans="1:48" s="120" customFormat="1" ht="19.5" customHeight="1">
      <c r="A13" s="53"/>
      <c r="B13" s="18">
        <v>3</v>
      </c>
      <c r="C13" s="19" t="s">
        <v>556</v>
      </c>
      <c r="D13" s="31"/>
      <c r="E13" s="168"/>
      <c r="F13" s="31"/>
      <c r="G13" s="149" t="str">
        <f>IFERROR(VLOOKUP(F13, 'Lookup Tables'!$B$5:$C$2226, 2, FALSE), "")</f>
        <v/>
      </c>
      <c r="H13" s="31"/>
      <c r="I13" s="238"/>
      <c r="J13" s="32"/>
      <c r="K13" s="32"/>
      <c r="L13" s="32"/>
      <c r="M13" s="32"/>
      <c r="N13" s="368"/>
      <c r="O13" s="231" t="str">
        <f>IFERROR(VLOOKUP(E13, 'Lookup Tables'!$AC$5:$AL$27, MATCH(G13, 'Lookup Tables'!$AD$5:$AL$5,1)+1, FALSE),"")</f>
        <v/>
      </c>
      <c r="P13" s="231" t="str">
        <f>IFERROR(VLOOKUP(E13, 'Lookup Tables'!$G$5:$P$19, MATCH(G13, 'Lookup Tables'!$H$5:$P$5,1)+1, FALSE),"")</f>
        <v/>
      </c>
      <c r="Q13" s="32"/>
      <c r="R13" s="231" cm="1">
        <f t="array" ref="R13">_xlfn.IFS(N13&lt;7000,7000,AND(N13&gt;=7000,N13&lt;=15000),N13,N13&gt;15000,15000)</f>
        <v>7000</v>
      </c>
      <c r="S13" s="157">
        <f t="shared" si="8"/>
        <v>9.4090000000000007</v>
      </c>
      <c r="T13" s="157">
        <f t="shared" si="9"/>
        <v>11.9</v>
      </c>
      <c r="U13" s="157" t="str">
        <f t="shared" si="10"/>
        <v/>
      </c>
      <c r="V13" s="157" t="str">
        <f t="shared" si="11"/>
        <v/>
      </c>
      <c r="W13" s="157">
        <f t="shared" si="12"/>
        <v>10.114675</v>
      </c>
      <c r="X13" s="157">
        <f t="shared" si="13"/>
        <v>12.792499999999999</v>
      </c>
      <c r="Y13" s="226" t="str">
        <f t="shared" si="14"/>
        <v/>
      </c>
      <c r="Z13" s="239" t="str">
        <f t="shared" si="15"/>
        <v/>
      </c>
      <c r="AA13" s="122"/>
      <c r="AB13" s="594" t="str">
        <f t="shared" si="0"/>
        <v/>
      </c>
      <c r="AC13" s="506" t="str">
        <f t="shared" si="1"/>
        <v/>
      </c>
      <c r="AD13" s="500" t="str">
        <f t="shared" si="2"/>
        <v/>
      </c>
      <c r="AE13" s="500" t="str">
        <f t="shared" si="3"/>
        <v/>
      </c>
      <c r="AF13" s="160" t="str">
        <f t="shared" si="16"/>
        <v/>
      </c>
      <c r="AG13" s="21" t="str">
        <f t="shared" si="4"/>
        <v/>
      </c>
      <c r="AH13" s="133" t="str">
        <f t="shared" si="5"/>
        <v/>
      </c>
      <c r="AI13" s="21" t="str">
        <f t="shared" si="6"/>
        <v/>
      </c>
      <c r="AJ13" s="21" t="str">
        <f t="shared" si="7"/>
        <v/>
      </c>
      <c r="AK13" s="11"/>
      <c r="AL13" s="11"/>
      <c r="AM13" s="11"/>
      <c r="AN13" s="11"/>
      <c r="AO13" s="11"/>
      <c r="AP13" s="11"/>
      <c r="AQ13" s="11"/>
      <c r="AR13" s="11"/>
      <c r="AS13" s="11"/>
      <c r="AT13" s="11"/>
      <c r="AU13" s="11"/>
      <c r="AV13" s="11"/>
    </row>
    <row r="14" spans="1:48" s="120" customFormat="1" ht="19.5" customHeight="1">
      <c r="A14" s="53"/>
      <c r="B14" s="18">
        <v>4</v>
      </c>
      <c r="C14" s="19" t="s">
        <v>556</v>
      </c>
      <c r="D14" s="31"/>
      <c r="E14" s="168"/>
      <c r="F14" s="31"/>
      <c r="G14" s="149" t="str">
        <f>IFERROR(VLOOKUP(F14, 'Lookup Tables'!$B$5:$C$2226, 2, FALSE), "")</f>
        <v/>
      </c>
      <c r="H14" s="31"/>
      <c r="I14" s="238"/>
      <c r="J14" s="32"/>
      <c r="K14" s="32"/>
      <c r="L14" s="32"/>
      <c r="M14" s="32"/>
      <c r="N14" s="368"/>
      <c r="O14" s="231" t="str">
        <f>IFERROR(VLOOKUP(E14, 'Lookup Tables'!$AC$5:$AL$27, MATCH(G14, 'Lookup Tables'!$AD$5:$AL$5,1)+1, FALSE),"")</f>
        <v/>
      </c>
      <c r="P14" s="231" t="str">
        <f>IFERROR(VLOOKUP(E14, 'Lookup Tables'!$G$5:$P$19, MATCH(G14, 'Lookup Tables'!$H$5:$P$5,1)+1, FALSE),"")</f>
        <v/>
      </c>
      <c r="Q14" s="32"/>
      <c r="R14" s="231" cm="1">
        <f t="array" ref="R14">_xlfn.IFS(N14&lt;7000,7000,AND(N14&gt;=7000,N14&lt;=15000),N14,N14&gt;15000,15000)</f>
        <v>7000</v>
      </c>
      <c r="S14" s="157">
        <f t="shared" si="8"/>
        <v>9.4090000000000007</v>
      </c>
      <c r="T14" s="157">
        <f t="shared" si="9"/>
        <v>11.9</v>
      </c>
      <c r="U14" s="157" t="str">
        <f t="shared" si="10"/>
        <v/>
      </c>
      <c r="V14" s="157" t="str">
        <f t="shared" si="11"/>
        <v/>
      </c>
      <c r="W14" s="157">
        <f t="shared" si="12"/>
        <v>10.114675</v>
      </c>
      <c r="X14" s="157">
        <f t="shared" si="13"/>
        <v>12.792499999999999</v>
      </c>
      <c r="Y14" s="226" t="str">
        <f t="shared" si="14"/>
        <v/>
      </c>
      <c r="Z14" s="239" t="str">
        <f t="shared" si="15"/>
        <v/>
      </c>
      <c r="AA14" s="122"/>
      <c r="AB14" s="594" t="str">
        <f t="shared" si="0"/>
        <v/>
      </c>
      <c r="AC14" s="506" t="str">
        <f t="shared" si="1"/>
        <v/>
      </c>
      <c r="AD14" s="500" t="str">
        <f t="shared" si="2"/>
        <v/>
      </c>
      <c r="AE14" s="500" t="str">
        <f t="shared" si="3"/>
        <v/>
      </c>
      <c r="AF14" s="160" t="str">
        <f t="shared" si="16"/>
        <v/>
      </c>
      <c r="AG14" s="21" t="str">
        <f t="shared" si="4"/>
        <v/>
      </c>
      <c r="AH14" s="133" t="str">
        <f t="shared" si="5"/>
        <v/>
      </c>
      <c r="AI14" s="21" t="str">
        <f t="shared" si="6"/>
        <v/>
      </c>
      <c r="AJ14" s="21" t="str">
        <f t="shared" si="7"/>
        <v/>
      </c>
      <c r="AK14" s="11"/>
      <c r="AL14" s="11"/>
      <c r="AM14" s="11"/>
      <c r="AN14" s="11"/>
      <c r="AO14" s="11"/>
      <c r="AP14" s="11"/>
      <c r="AQ14" s="11"/>
      <c r="AR14" s="11"/>
      <c r="AS14" s="11"/>
      <c r="AT14" s="11"/>
      <c r="AU14" s="11"/>
      <c r="AV14" s="11"/>
    </row>
    <row r="15" spans="1:48" s="120" customFormat="1" ht="19.5" customHeight="1">
      <c r="A15" s="53"/>
      <c r="B15" s="18">
        <v>5</v>
      </c>
      <c r="C15" s="19" t="s">
        <v>556</v>
      </c>
      <c r="D15" s="31"/>
      <c r="E15" s="168"/>
      <c r="F15" s="31"/>
      <c r="G15" s="149" t="str">
        <f>IFERROR(VLOOKUP(F15, 'Lookup Tables'!$B$5:$C$2226, 2, FALSE), "")</f>
        <v/>
      </c>
      <c r="H15" s="31"/>
      <c r="I15" s="238"/>
      <c r="J15" s="32"/>
      <c r="K15" s="32"/>
      <c r="L15" s="32"/>
      <c r="M15" s="32"/>
      <c r="N15" s="368"/>
      <c r="O15" s="231" t="str">
        <f>IFERROR(VLOOKUP(E15, 'Lookup Tables'!$AC$5:$AL$27, MATCH(G15, 'Lookup Tables'!$AD$5:$AL$5,1)+1, FALSE),"")</f>
        <v/>
      </c>
      <c r="P15" s="231" t="str">
        <f>IFERROR(VLOOKUP(E15, 'Lookup Tables'!$G$5:$P$19, MATCH(G15, 'Lookup Tables'!$H$5:$P$5,1)+1, FALSE),"")</f>
        <v/>
      </c>
      <c r="Q15" s="32"/>
      <c r="R15" s="231" cm="1">
        <f t="array" ref="R15">_xlfn.IFS(N15&lt;7000,7000,AND(N15&gt;=7000,N15&lt;=15000),N15,N15&gt;15000,15000)</f>
        <v>7000</v>
      </c>
      <c r="S15" s="157">
        <f t="shared" si="8"/>
        <v>9.4090000000000007</v>
      </c>
      <c r="T15" s="157">
        <f t="shared" si="9"/>
        <v>11.9</v>
      </c>
      <c r="U15" s="157" t="str">
        <f t="shared" si="10"/>
        <v/>
      </c>
      <c r="V15" s="157" t="str">
        <f t="shared" si="11"/>
        <v/>
      </c>
      <c r="W15" s="157">
        <f t="shared" si="12"/>
        <v>10.114675</v>
      </c>
      <c r="X15" s="157">
        <f t="shared" si="13"/>
        <v>12.792499999999999</v>
      </c>
      <c r="Y15" s="226" t="str">
        <f t="shared" si="14"/>
        <v/>
      </c>
      <c r="Z15" s="239" t="str">
        <f t="shared" si="15"/>
        <v/>
      </c>
      <c r="AA15" s="122"/>
      <c r="AB15" s="594" t="str">
        <f t="shared" si="0"/>
        <v/>
      </c>
      <c r="AC15" s="506" t="str">
        <f t="shared" si="1"/>
        <v/>
      </c>
      <c r="AD15" s="500" t="str">
        <f t="shared" si="2"/>
        <v/>
      </c>
      <c r="AE15" s="500" t="str">
        <f t="shared" si="3"/>
        <v/>
      </c>
      <c r="AF15" s="160" t="str">
        <f t="shared" si="16"/>
        <v/>
      </c>
      <c r="AG15" s="21" t="str">
        <f t="shared" si="4"/>
        <v/>
      </c>
      <c r="AH15" s="133" t="str">
        <f t="shared" si="5"/>
        <v/>
      </c>
      <c r="AI15" s="21" t="str">
        <f t="shared" si="6"/>
        <v/>
      </c>
      <c r="AJ15" s="21" t="str">
        <f t="shared" si="7"/>
        <v/>
      </c>
      <c r="AK15" s="11"/>
      <c r="AL15" s="11"/>
      <c r="AM15" s="11"/>
      <c r="AN15" s="11"/>
      <c r="AO15" s="11"/>
      <c r="AP15" s="11"/>
      <c r="AQ15" s="11"/>
      <c r="AR15" s="11"/>
      <c r="AS15" s="11"/>
      <c r="AT15" s="11"/>
      <c r="AU15" s="11"/>
      <c r="AV15" s="11"/>
    </row>
    <row r="16" spans="1:48" s="120" customFormat="1" ht="19.5" customHeight="1">
      <c r="A16" s="53"/>
      <c r="B16" s="18">
        <v>6</v>
      </c>
      <c r="C16" s="19" t="s">
        <v>556</v>
      </c>
      <c r="D16" s="31"/>
      <c r="E16" s="168"/>
      <c r="F16" s="31"/>
      <c r="G16" s="149" t="str">
        <f>IFERROR(VLOOKUP(F16, 'Lookup Tables'!$B$5:$C$2226, 2, FALSE), "")</f>
        <v/>
      </c>
      <c r="H16" s="31"/>
      <c r="I16" s="238"/>
      <c r="J16" s="32"/>
      <c r="K16" s="32"/>
      <c r="L16" s="32"/>
      <c r="M16" s="32"/>
      <c r="N16" s="368"/>
      <c r="O16" s="231" t="str">
        <f>IFERROR(VLOOKUP(E16, 'Lookup Tables'!$AC$5:$AL$27, MATCH(G16, 'Lookup Tables'!$AD$5:$AL$5,1)+1, FALSE),"")</f>
        <v/>
      </c>
      <c r="P16" s="231" t="str">
        <f>IFERROR(VLOOKUP(E16, 'Lookup Tables'!$G$5:$P$19, MATCH(G16, 'Lookup Tables'!$H$5:$P$5,1)+1, FALSE),"")</f>
        <v/>
      </c>
      <c r="Q16" s="32"/>
      <c r="R16" s="231" cm="1">
        <f t="array" ref="R16">_xlfn.IFS(N16&lt;7000,7000,AND(N16&gt;=7000,N16&lt;=15000),N16,N16&gt;15000,15000)</f>
        <v>7000</v>
      </c>
      <c r="S16" s="157">
        <f t="shared" si="8"/>
        <v>9.4090000000000007</v>
      </c>
      <c r="T16" s="157">
        <f t="shared" si="9"/>
        <v>11.9</v>
      </c>
      <c r="U16" s="157" t="str">
        <f t="shared" si="10"/>
        <v/>
      </c>
      <c r="V16" s="157" t="str">
        <f t="shared" si="11"/>
        <v/>
      </c>
      <c r="W16" s="157">
        <f t="shared" si="12"/>
        <v>10.114675</v>
      </c>
      <c r="X16" s="157">
        <f t="shared" si="13"/>
        <v>12.792499999999999</v>
      </c>
      <c r="Y16" s="226" t="str">
        <f t="shared" si="14"/>
        <v/>
      </c>
      <c r="Z16" s="239" t="str">
        <f t="shared" si="15"/>
        <v/>
      </c>
      <c r="AA16" s="122"/>
      <c r="AB16" s="594" t="str">
        <f t="shared" si="0"/>
        <v/>
      </c>
      <c r="AC16" s="506" t="str">
        <f t="shared" si="1"/>
        <v/>
      </c>
      <c r="AD16" s="500" t="str">
        <f t="shared" si="2"/>
        <v/>
      </c>
      <c r="AE16" s="500" t="str">
        <f t="shared" si="3"/>
        <v/>
      </c>
      <c r="AF16" s="160" t="str">
        <f t="shared" si="16"/>
        <v/>
      </c>
      <c r="AG16" s="21" t="str">
        <f t="shared" si="4"/>
        <v/>
      </c>
      <c r="AH16" s="133" t="str">
        <f t="shared" si="5"/>
        <v/>
      </c>
      <c r="AI16" s="21" t="str">
        <f t="shared" si="6"/>
        <v/>
      </c>
      <c r="AJ16" s="21" t="str">
        <f t="shared" si="7"/>
        <v/>
      </c>
      <c r="AK16" s="11"/>
      <c r="AL16" s="11"/>
      <c r="AM16" s="11"/>
      <c r="AN16" s="11"/>
      <c r="AO16" s="11"/>
      <c r="AP16" s="11"/>
      <c r="AQ16" s="11"/>
      <c r="AR16" s="11"/>
      <c r="AS16" s="11"/>
      <c r="AT16" s="11"/>
      <c r="AU16" s="11"/>
      <c r="AV16" s="11"/>
    </row>
    <row r="17" spans="1:48" s="120" customFormat="1" ht="19.5" customHeight="1">
      <c r="A17" s="53"/>
      <c r="B17" s="18">
        <v>7</v>
      </c>
      <c r="C17" s="19" t="s">
        <v>556</v>
      </c>
      <c r="D17" s="31"/>
      <c r="E17" s="168"/>
      <c r="F17" s="31"/>
      <c r="G17" s="149" t="str">
        <f>IFERROR(VLOOKUP(F17, 'Lookup Tables'!$B$5:$C$2226, 2, FALSE), "")</f>
        <v/>
      </c>
      <c r="H17" s="31"/>
      <c r="I17" s="238"/>
      <c r="J17" s="32"/>
      <c r="K17" s="32"/>
      <c r="L17" s="32"/>
      <c r="M17" s="32"/>
      <c r="N17" s="368"/>
      <c r="O17" s="231" t="str">
        <f>IFERROR(VLOOKUP(E17, 'Lookup Tables'!$AC$5:$AL$27, MATCH(G17, 'Lookup Tables'!$AD$5:$AL$5,1)+1, FALSE),"")</f>
        <v/>
      </c>
      <c r="P17" s="231" t="str">
        <f>IFERROR(VLOOKUP(E17, 'Lookup Tables'!$G$5:$P$19, MATCH(G17, 'Lookup Tables'!$H$5:$P$5,1)+1, FALSE),"")</f>
        <v/>
      </c>
      <c r="Q17" s="32"/>
      <c r="R17" s="231" cm="1">
        <f t="array" ref="R17">_xlfn.IFS(N17&lt;7000,7000,AND(N17&gt;=7000,N17&lt;=15000),N17,N17&gt;15000,15000)</f>
        <v>7000</v>
      </c>
      <c r="S17" s="157">
        <f t="shared" si="8"/>
        <v>9.4090000000000007</v>
      </c>
      <c r="T17" s="157">
        <f t="shared" si="9"/>
        <v>11.9</v>
      </c>
      <c r="U17" s="157" t="str">
        <f t="shared" si="10"/>
        <v/>
      </c>
      <c r="V17" s="157" t="str">
        <f t="shared" si="11"/>
        <v/>
      </c>
      <c r="W17" s="157">
        <f t="shared" si="12"/>
        <v>10.114675</v>
      </c>
      <c r="X17" s="157">
        <f t="shared" si="13"/>
        <v>12.792499999999999</v>
      </c>
      <c r="Y17" s="226" t="str">
        <f t="shared" si="14"/>
        <v/>
      </c>
      <c r="Z17" s="239" t="str">
        <f t="shared" si="15"/>
        <v/>
      </c>
      <c r="AA17" s="122"/>
      <c r="AB17" s="594" t="str">
        <f t="shared" si="0"/>
        <v/>
      </c>
      <c r="AC17" s="506" t="str">
        <f t="shared" si="1"/>
        <v/>
      </c>
      <c r="AD17" s="500" t="str">
        <f t="shared" si="2"/>
        <v/>
      </c>
      <c r="AE17" s="500" t="str">
        <f t="shared" si="3"/>
        <v/>
      </c>
      <c r="AF17" s="160" t="str">
        <f t="shared" si="16"/>
        <v/>
      </c>
      <c r="AG17" s="21" t="str">
        <f t="shared" si="4"/>
        <v/>
      </c>
      <c r="AH17" s="133" t="str">
        <f t="shared" si="5"/>
        <v/>
      </c>
      <c r="AI17" s="21" t="str">
        <f t="shared" si="6"/>
        <v/>
      </c>
      <c r="AJ17" s="21" t="str">
        <f t="shared" si="7"/>
        <v/>
      </c>
      <c r="AK17" s="11"/>
      <c r="AL17" s="11"/>
      <c r="AM17" s="11"/>
      <c r="AN17" s="11"/>
      <c r="AO17" s="11"/>
      <c r="AP17" s="11"/>
      <c r="AQ17" s="11"/>
      <c r="AR17" s="11"/>
      <c r="AS17" s="11"/>
      <c r="AT17" s="11"/>
      <c r="AU17" s="11"/>
      <c r="AV17" s="11"/>
    </row>
    <row r="18" spans="1:48" s="120" customFormat="1" ht="19.5" customHeight="1">
      <c r="A18" s="53"/>
      <c r="B18" s="18">
        <v>8</v>
      </c>
      <c r="C18" s="19" t="s">
        <v>556</v>
      </c>
      <c r="D18" s="31"/>
      <c r="E18" s="168"/>
      <c r="F18" s="31"/>
      <c r="G18" s="149" t="str">
        <f>IFERROR(VLOOKUP(F18, 'Lookup Tables'!$B$5:$C$2226, 2, FALSE), "")</f>
        <v/>
      </c>
      <c r="H18" s="31"/>
      <c r="I18" s="238"/>
      <c r="J18" s="32"/>
      <c r="K18" s="32"/>
      <c r="L18" s="32"/>
      <c r="M18" s="32"/>
      <c r="N18" s="368"/>
      <c r="O18" s="231" t="str">
        <f>IFERROR(VLOOKUP(E18, 'Lookup Tables'!$AC$5:$AL$27, MATCH(G18, 'Lookup Tables'!$AD$5:$AL$5,1)+1, FALSE),"")</f>
        <v/>
      </c>
      <c r="P18" s="231" t="str">
        <f>IFERROR(VLOOKUP(E18, 'Lookup Tables'!$G$5:$P$19, MATCH(G18, 'Lookup Tables'!$H$5:$P$5,1)+1, FALSE),"")</f>
        <v/>
      </c>
      <c r="Q18" s="32"/>
      <c r="R18" s="231" cm="1">
        <f t="array" ref="R18">_xlfn.IFS(N18&lt;7000,7000,AND(N18&gt;=7000,N18&lt;=15000),N18,N18&gt;15000,15000)</f>
        <v>7000</v>
      </c>
      <c r="S18" s="157">
        <f t="shared" si="8"/>
        <v>9.4090000000000007</v>
      </c>
      <c r="T18" s="157">
        <f t="shared" si="9"/>
        <v>11.9</v>
      </c>
      <c r="U18" s="157" t="str">
        <f t="shared" si="10"/>
        <v/>
      </c>
      <c r="V18" s="157" t="str">
        <f t="shared" si="11"/>
        <v/>
      </c>
      <c r="W18" s="157">
        <f t="shared" si="12"/>
        <v>10.114675</v>
      </c>
      <c r="X18" s="157">
        <f t="shared" si="13"/>
        <v>12.792499999999999</v>
      </c>
      <c r="Y18" s="226" t="str">
        <f t="shared" si="14"/>
        <v/>
      </c>
      <c r="Z18" s="239" t="str">
        <f t="shared" si="15"/>
        <v/>
      </c>
      <c r="AA18" s="122"/>
      <c r="AB18" s="594" t="str">
        <f t="shared" si="0"/>
        <v/>
      </c>
      <c r="AC18" s="506" t="str">
        <f t="shared" si="1"/>
        <v/>
      </c>
      <c r="AD18" s="500" t="str">
        <f t="shared" si="2"/>
        <v/>
      </c>
      <c r="AE18" s="500" t="str">
        <f t="shared" si="3"/>
        <v/>
      </c>
      <c r="AF18" s="160" t="str">
        <f t="shared" si="16"/>
        <v/>
      </c>
      <c r="AG18" s="21" t="str">
        <f t="shared" si="4"/>
        <v/>
      </c>
      <c r="AH18" s="133" t="str">
        <f t="shared" si="5"/>
        <v/>
      </c>
      <c r="AI18" s="21" t="str">
        <f t="shared" si="6"/>
        <v/>
      </c>
      <c r="AJ18" s="21" t="str">
        <f t="shared" si="7"/>
        <v/>
      </c>
      <c r="AK18" s="11"/>
      <c r="AL18" s="11"/>
      <c r="AM18" s="11"/>
      <c r="AN18" s="11"/>
      <c r="AO18" s="11"/>
      <c r="AP18" s="11"/>
      <c r="AQ18" s="11"/>
      <c r="AR18" s="11"/>
      <c r="AS18" s="11"/>
      <c r="AT18" s="11"/>
      <c r="AU18" s="11"/>
      <c r="AV18" s="11"/>
    </row>
    <row r="19" spans="1:48" s="120" customFormat="1" ht="18" customHeight="1">
      <c r="A19" s="53"/>
      <c r="B19" s="196"/>
      <c r="C19" s="196"/>
      <c r="D19" s="196"/>
      <c r="E19" s="196"/>
      <c r="F19" s="196"/>
      <c r="G19" s="196"/>
      <c r="H19" s="196"/>
      <c r="I19" s="196"/>
      <c r="J19" s="196"/>
      <c r="K19" s="196"/>
      <c r="L19" s="196"/>
      <c r="M19" s="196"/>
      <c r="N19" s="196"/>
      <c r="O19" s="196"/>
      <c r="P19" s="196"/>
      <c r="Q19" s="196"/>
      <c r="R19" s="196"/>
      <c r="S19" s="196"/>
      <c r="T19" s="196"/>
      <c r="U19" s="196"/>
      <c r="V19" s="196"/>
      <c r="W19" s="196"/>
      <c r="X19" s="196"/>
      <c r="Y19" s="196"/>
      <c r="Z19" s="196"/>
      <c r="AA19" s="196"/>
      <c r="AB19" s="196"/>
      <c r="AC19" s="196"/>
      <c r="AD19" s="196"/>
      <c r="AE19" s="196"/>
      <c r="AF19" s="196"/>
      <c r="AG19" s="196"/>
      <c r="AH19" s="196"/>
      <c r="AI19" s="196"/>
      <c r="AJ19" s="196"/>
      <c r="AK19" s="11"/>
      <c r="AL19" s="11"/>
      <c r="AM19" s="11"/>
      <c r="AN19" s="11"/>
      <c r="AO19" s="11"/>
      <c r="AP19" s="11"/>
      <c r="AQ19" s="11"/>
      <c r="AR19" s="11"/>
      <c r="AS19" s="11"/>
      <c r="AT19" s="11"/>
      <c r="AU19" s="11"/>
      <c r="AV19" s="11"/>
    </row>
    <row r="20" spans="1:48" s="120" customFormat="1" ht="17.25" hidden="1" customHeight="1">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11"/>
      <c r="AI20" s="11"/>
      <c r="AJ20" s="11"/>
      <c r="AK20" s="11"/>
      <c r="AL20" s="11"/>
      <c r="AM20" s="11"/>
      <c r="AN20" s="11"/>
      <c r="AO20" s="11"/>
      <c r="AP20" s="11"/>
      <c r="AQ20" s="11"/>
      <c r="AR20" s="11"/>
      <c r="AS20" s="11"/>
      <c r="AT20" s="11"/>
      <c r="AU20" s="11"/>
      <c r="AV20" s="11"/>
    </row>
    <row r="21" spans="1:48" hidden="1">
      <c r="A21" s="147"/>
      <c r="B21" s="147"/>
      <c r="C21" s="135" t="s">
        <v>168</v>
      </c>
      <c r="D21" s="11"/>
      <c r="E21" s="783" t="s">
        <v>557</v>
      </c>
      <c r="F21" s="784"/>
      <c r="G21" s="785"/>
      <c r="H21" s="783" t="s">
        <v>558</v>
      </c>
      <c r="I21" s="784"/>
      <c r="J21" s="383"/>
      <c r="K21" s="383"/>
      <c r="L21" s="383"/>
      <c r="M21" s="383"/>
      <c r="N21" s="384"/>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row>
    <row r="22" spans="1:48" hidden="1">
      <c r="A22" s="147"/>
      <c r="B22" s="147"/>
      <c r="C22" s="56">
        <v>15</v>
      </c>
      <c r="D22" s="11"/>
      <c r="E22" s="134" t="s">
        <v>104</v>
      </c>
      <c r="F22" s="135" t="s">
        <v>559</v>
      </c>
      <c r="G22" s="135" t="s">
        <v>560</v>
      </c>
      <c r="H22" s="135" t="s">
        <v>559</v>
      </c>
      <c r="I22" s="135" t="s">
        <v>560</v>
      </c>
      <c r="J22" s="135" t="s">
        <v>45</v>
      </c>
      <c r="K22" s="135" t="s">
        <v>256</v>
      </c>
      <c r="L22" s="134" t="s">
        <v>522</v>
      </c>
      <c r="M22" s="466" t="s">
        <v>134</v>
      </c>
      <c r="N22" s="466" t="s">
        <v>132</v>
      </c>
      <c r="O22" s="466" t="s">
        <v>143</v>
      </c>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row>
    <row r="23" spans="1:48" hidden="1">
      <c r="A23" s="147"/>
      <c r="B23" s="147"/>
      <c r="C23" s="52"/>
      <c r="D23" s="11"/>
      <c r="E23" s="121" t="s">
        <v>561</v>
      </c>
      <c r="F23" s="573" t="s">
        <v>562</v>
      </c>
      <c r="G23" s="573" t="s">
        <v>563</v>
      </c>
      <c r="H23" s="573" t="s">
        <v>564</v>
      </c>
      <c r="I23" s="573" t="s">
        <v>565</v>
      </c>
      <c r="J23" s="385"/>
      <c r="K23" s="386"/>
      <c r="L23" s="387"/>
      <c r="M23" s="387"/>
      <c r="N23" s="387"/>
      <c r="O23" s="387"/>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row>
    <row r="24" spans="1:48" hidden="1">
      <c r="A24" s="147"/>
      <c r="B24" s="147"/>
      <c r="C24" s="464" t="s">
        <v>566</v>
      </c>
      <c r="D24" s="11"/>
      <c r="E24" s="121" t="s">
        <v>567</v>
      </c>
      <c r="F24" s="573">
        <v>10.9</v>
      </c>
      <c r="G24" s="573">
        <v>14</v>
      </c>
      <c r="H24" s="573">
        <f>F24*1.075</f>
        <v>11.717499999999999</v>
      </c>
      <c r="I24" s="573">
        <f>G24*1.075</f>
        <v>15.049999999999999</v>
      </c>
      <c r="J24" s="3">
        <v>100</v>
      </c>
      <c r="K24" s="39" t="s">
        <v>568</v>
      </c>
      <c r="L24" s="1" t="s">
        <v>56</v>
      </c>
      <c r="M24" s="388" t="s">
        <v>569</v>
      </c>
      <c r="N24" s="23" t="s">
        <v>556</v>
      </c>
      <c r="O24" s="23" t="s">
        <v>56</v>
      </c>
      <c r="S24" s="11"/>
      <c r="T24" s="11"/>
      <c r="U24" s="11"/>
      <c r="V24" s="11"/>
      <c r="W24" s="11"/>
      <c r="X24" s="11"/>
      <c r="Y24" s="11"/>
      <c r="Z24" s="11"/>
      <c r="AA24" s="11"/>
      <c r="AB24" s="11"/>
      <c r="AC24" s="11"/>
      <c r="AE24" s="11"/>
      <c r="AF24" s="11"/>
      <c r="AG24" s="11"/>
      <c r="AH24" s="11"/>
      <c r="AI24" s="11"/>
      <c r="AJ24" s="11"/>
      <c r="AK24" s="11"/>
      <c r="AL24" s="11"/>
      <c r="AM24" s="11"/>
      <c r="AN24" s="11"/>
      <c r="AO24" s="11"/>
      <c r="AP24" s="11"/>
      <c r="AQ24" s="11"/>
      <c r="AR24" s="11"/>
      <c r="AS24" s="11"/>
      <c r="AT24" s="11"/>
      <c r="AU24" s="11"/>
      <c r="AV24" s="11"/>
    </row>
    <row r="25" spans="1:48" hidden="1">
      <c r="A25" s="147"/>
      <c r="B25" s="147"/>
      <c r="C25" s="56" t="s">
        <v>382</v>
      </c>
      <c r="D25" s="11"/>
      <c r="E25" s="121" t="s">
        <v>570</v>
      </c>
      <c r="F25" s="573">
        <v>-0.21299999999999999</v>
      </c>
      <c r="G25" s="573">
        <v>-0.3</v>
      </c>
      <c r="H25" s="573">
        <f>F25*1.075</f>
        <v>-0.22897499999999998</v>
      </c>
      <c r="I25" s="573">
        <f>G25*1.075</f>
        <v>-0.32249999999999995</v>
      </c>
      <c r="J25" s="385"/>
      <c r="K25" s="386"/>
      <c r="L25" s="387"/>
      <c r="M25" s="387"/>
      <c r="N25" s="387"/>
      <c r="O25" s="387"/>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row>
    <row r="26" spans="1:48" hidden="1">
      <c r="A26" s="147"/>
      <c r="B26" s="147"/>
      <c r="C26" s="22" t="s">
        <v>238</v>
      </c>
      <c r="D26" s="52"/>
      <c r="E26" s="11"/>
      <c r="F26" s="557"/>
      <c r="G26" s="557"/>
      <c r="H26" s="557"/>
      <c r="I26" s="557"/>
      <c r="J26" s="11"/>
      <c r="K26" s="11"/>
      <c r="L26" s="11"/>
      <c r="M26" s="11"/>
      <c r="N26" s="11"/>
      <c r="O26" s="11"/>
      <c r="P26" s="11"/>
      <c r="Q26" s="11"/>
      <c r="R26" s="11"/>
      <c r="S26" s="11"/>
      <c r="T26" s="11"/>
      <c r="U26" s="11"/>
      <c r="V26" s="11"/>
      <c r="W26" s="11"/>
      <c r="X26" s="11"/>
      <c r="Y26" s="11"/>
      <c r="Z26" s="53"/>
      <c r="AA26" s="53"/>
      <c r="AB26" s="53"/>
      <c r="AC26" s="11"/>
      <c r="AD26" s="11"/>
      <c r="AE26" s="11"/>
      <c r="AF26" s="11"/>
      <c r="AG26" s="11"/>
      <c r="AH26" s="11"/>
      <c r="AI26" s="11"/>
      <c r="AJ26" s="11"/>
      <c r="AK26" s="11"/>
      <c r="AL26" s="11"/>
      <c r="AM26" s="11"/>
      <c r="AN26" s="11"/>
      <c r="AO26" s="11"/>
      <c r="AP26" s="11"/>
      <c r="AQ26" s="11"/>
      <c r="AR26" s="11"/>
      <c r="AS26" s="11"/>
      <c r="AT26" s="11"/>
      <c r="AU26" s="11"/>
      <c r="AV26" s="11"/>
    </row>
    <row r="27" spans="1:48" hidden="1">
      <c r="A27" s="147"/>
      <c r="B27" s="147"/>
      <c r="C27" s="33"/>
      <c r="D27" s="33"/>
      <c r="E27" s="33"/>
      <c r="F27" s="574" t="s">
        <v>571</v>
      </c>
      <c r="G27" s="557"/>
      <c r="H27" s="557"/>
      <c r="I27" s="557"/>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row>
    <row r="28" spans="1:48" hidden="1">
      <c r="A28" s="147"/>
      <c r="B28" s="147"/>
      <c r="C28" s="33"/>
      <c r="D28" s="33"/>
      <c r="E28" s="33"/>
      <c r="F28" s="33"/>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row>
    <row r="29" spans="1:48" hidden="1">
      <c r="A29" s="11"/>
      <c r="B29" s="11"/>
      <c r="C29" s="782"/>
      <c r="D29" s="782"/>
      <c r="E29" s="782"/>
      <c r="F29" s="33"/>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row>
    <row r="30" spans="1:48" hidden="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row>
    <row r="31" spans="1:48" hidden="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row>
    <row r="32" spans="1:48">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row>
    <row r="33" spans="1:48" ht="21"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row>
    <row r="34" spans="1:48">
      <c r="A34" s="11"/>
      <c r="B34" s="11"/>
      <c r="C34" s="11"/>
      <c r="D34" s="11"/>
      <c r="E34" s="11"/>
      <c r="F34" s="11"/>
      <c r="G34" s="11"/>
      <c r="H34" s="11"/>
      <c r="I34" s="11"/>
      <c r="J34" s="11"/>
      <c r="K34" s="11"/>
      <c r="L34" s="11"/>
      <c r="M34" s="11"/>
      <c r="N34" s="11"/>
      <c r="O34" s="11"/>
      <c r="P34" s="11"/>
      <c r="Q34" s="11"/>
      <c r="R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row>
    <row r="35" spans="1:48">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row>
    <row r="36" spans="1:48">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row>
    <row r="37" spans="1:48">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row>
    <row r="38" spans="1:48">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row>
    <row r="39" spans="1:48">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row>
    <row r="40" spans="1:48">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row>
    <row r="41" spans="1:48">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row>
    <row r="42" spans="1:48">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row>
    <row r="43" spans="1:48">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row>
    <row r="44" spans="1:48">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row>
    <row r="45" spans="1:48">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row>
    <row r="46" spans="1:48">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row>
    <row r="47" spans="1:48">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row>
    <row r="48" spans="1:48">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row>
    <row r="49" spans="1:48">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row>
    <row r="50" spans="1:48">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row>
    <row r="51" spans="1:48">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row>
    <row r="52" spans="1:48">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row>
    <row r="53" spans="1:48">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row>
    <row r="54" spans="1:48">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row>
    <row r="55" spans="1:48">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row>
    <row r="56" spans="1:48">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row>
    <row r="57" spans="1:48">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row>
    <row r="58" spans="1:48">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row>
    <row r="59" spans="1:48">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row>
    <row r="60" spans="1:48">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row>
    <row r="61" spans="1:48">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row>
    <row r="62" spans="1:48">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row>
    <row r="63" spans="1:48">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row>
    <row r="64" spans="1:48">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row>
    <row r="65" spans="1:48">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row>
    <row r="66" spans="1:48">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row>
    <row r="67" spans="1:48">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row>
    <row r="68" spans="1:48">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row>
    <row r="69" spans="1:48">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row>
    <row r="70" spans="1:48">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row>
    <row r="71" spans="1:48">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row>
    <row r="72" spans="1:48">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row>
    <row r="73" spans="1:48">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row>
    <row r="74" spans="1:48">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row>
    <row r="75" spans="1:48">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row>
    <row r="76" spans="1:48">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row>
    <row r="77" spans="1:48">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row>
    <row r="78" spans="1:48">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row>
    <row r="79" spans="1:48">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row>
    <row r="80" spans="1:48">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row>
    <row r="81" spans="1:48">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row>
    <row r="82" spans="1:48">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row>
    <row r="83" spans="1:48">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row>
    <row r="84" spans="1:48">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row>
    <row r="85" spans="1:48">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row>
    <row r="86" spans="1:48">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row>
    <row r="87" spans="1:48">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row>
    <row r="88" spans="1:48">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row>
    <row r="89" spans="1:48">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row>
    <row r="90" spans="1:48">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row>
    <row r="91" spans="1:48">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row>
    <row r="92" spans="1:48">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row>
    <row r="93" spans="1:48">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row>
    <row r="94" spans="1:48">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row>
    <row r="95" spans="1:48">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row>
    <row r="96" spans="1:48">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row>
    <row r="97" spans="1:48">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row>
    <row r="98" spans="1:48">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row>
    <row r="99" spans="1:48">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row>
    <row r="100" spans="1:48">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row>
    <row r="101" spans="1:48">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row>
    <row r="102" spans="1:48">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row>
    <row r="103" spans="1:48">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row>
    <row r="104" spans="1:48">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row>
    <row r="105" spans="1:48">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row>
    <row r="106" spans="1:48">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row>
    <row r="107" spans="1:48">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row>
    <row r="108" spans="1:4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row>
    <row r="109" spans="1:48">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row>
    <row r="110" spans="1:48">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row>
    <row r="111" spans="1:48">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row>
    <row r="112" spans="1:48">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row>
    <row r="113" spans="1:48">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row>
    <row r="114" spans="1:48">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row>
    <row r="115" spans="1:48">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row>
    <row r="116" spans="1:48">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row>
    <row r="117" spans="1:48">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row>
    <row r="118" spans="1:48">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row>
    <row r="119" spans="1:48">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row>
    <row r="120" spans="1:48">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row>
    <row r="121" spans="1:48">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row>
    <row r="122" spans="1:48">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row>
    <row r="123" spans="1:48">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row>
    <row r="124" spans="1:48">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row>
    <row r="125" spans="1:48">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row>
    <row r="126" spans="1:48">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row>
    <row r="127" spans="1:48">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row>
    <row r="128" spans="1:48">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row>
    <row r="129" spans="1:48">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row>
    <row r="130" spans="1:48">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row>
    <row r="131" spans="1:48">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row>
    <row r="132" spans="1:48">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row>
    <row r="133" spans="1:48">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row>
    <row r="134" spans="1:48">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row>
    <row r="135" spans="1:48">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row>
    <row r="136" spans="1:48">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row>
    <row r="137" spans="1:48">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row>
    <row r="138" spans="1:48">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row>
    <row r="139" spans="1:48">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row>
    <row r="140" spans="1:48">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row>
    <row r="141" spans="1:48">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row>
    <row r="142" spans="1:48">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row>
    <row r="143" spans="1:48">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row>
    <row r="144" spans="1:48">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row>
    <row r="145" spans="1:48">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row>
    <row r="146" spans="1:48">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row>
    <row r="147" spans="1:48">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row>
    <row r="148" spans="1:48">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row>
    <row r="149" spans="1:48">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row>
    <row r="150" spans="1:48">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row>
    <row r="151" spans="1:48">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row>
    <row r="152" spans="1:48">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row>
    <row r="153" spans="1:48">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row>
    <row r="154" spans="1:48">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row>
    <row r="155" spans="1:48">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row>
    <row r="156" spans="1:48">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row>
    <row r="157" spans="1:48">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row>
    <row r="158" spans="1:48">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row>
    <row r="159" spans="1:48">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row>
    <row r="160" spans="1:48">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row>
    <row r="161" spans="1:48">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row>
    <row r="162" spans="1:48">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row>
    <row r="163" spans="1:48">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row>
    <row r="164" spans="1:48">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row>
    <row r="165" spans="1:48">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row>
    <row r="166" spans="1:48">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row>
    <row r="167" spans="1:48">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row>
    <row r="168" spans="1:48">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row>
    <row r="169" spans="1:48">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row>
    <row r="170" spans="1:48">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row>
    <row r="171" spans="1:48">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row>
    <row r="172" spans="1:48">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row>
    <row r="173" spans="1:48">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row>
    <row r="174" spans="1:48">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row>
    <row r="175" spans="1:48">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row>
    <row r="176" spans="1:48">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row>
    <row r="177" spans="1:48">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row>
    <row r="178" spans="1:48">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row>
    <row r="179" spans="1:48">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row>
    <row r="180" spans="1:48">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row>
    <row r="181" spans="1:48">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row>
    <row r="182" spans="1:48">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row>
    <row r="183" spans="1:48">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row>
    <row r="184" spans="1:48">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row>
    <row r="185" spans="1:48">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row>
    <row r="186" spans="1:48">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row>
    <row r="187" spans="1:48">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row>
    <row r="188" spans="1:48">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row>
    <row r="189" spans="1:48">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row>
    <row r="190" spans="1:48">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row>
    <row r="191" spans="1:48">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row>
    <row r="192" spans="1:48">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row>
    <row r="193" spans="1:48">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row>
    <row r="194" spans="1:48">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row>
    <row r="195" spans="1:48">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row>
    <row r="196" spans="1:48">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row>
    <row r="197" spans="1:48">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row>
    <row r="198" spans="1:48">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row>
    <row r="199" spans="1:48">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row>
    <row r="200" spans="1:48">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row>
    <row r="201" spans="1:48">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row>
    <row r="202" spans="1:48">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row>
    <row r="203" spans="1:48">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row>
    <row r="204" spans="1:48">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row>
    <row r="205" spans="1:48">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row>
    <row r="206" spans="1:48">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row>
    <row r="207" spans="1:48">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row>
    <row r="208" spans="1:48">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row>
    <row r="209" spans="1:48">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row>
    <row r="210" spans="1:48">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row>
    <row r="211" spans="1:48">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row>
    <row r="212" spans="1:48">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row>
    <row r="213" spans="1:48">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row>
    <row r="214" spans="1:48">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row>
    <row r="215" spans="1:48">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row>
    <row r="216" spans="1:48">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row>
    <row r="217" spans="1:48">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row>
    <row r="218" spans="1:48">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row>
    <row r="219" spans="1:48">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row>
    <row r="220" spans="1:48">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row>
    <row r="221" spans="1:48">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row>
    <row r="222" spans="1:48">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row>
    <row r="223" spans="1:48">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row>
    <row r="224" spans="1:48">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row>
    <row r="225" spans="1:48">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row>
    <row r="226" spans="1:48">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row>
    <row r="227" spans="1:48">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row>
    <row r="228" spans="1:48">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row>
    <row r="229" spans="1:48">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row>
    <row r="230" spans="1:48">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row>
    <row r="231" spans="1:48">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row>
    <row r="232" spans="1:48">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row>
    <row r="233" spans="1:48">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row>
    <row r="234" spans="1:48">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row>
    <row r="235" spans="1:48">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row>
    <row r="236" spans="1:48">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row>
    <row r="237" spans="1:48">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row>
    <row r="238" spans="1:48">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row>
    <row r="239" spans="1:48">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row>
    <row r="240" spans="1:48">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row>
    <row r="241" spans="1:48">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row>
    <row r="242" spans="1:48">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row>
    <row r="243" spans="1:48">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row>
    <row r="244" spans="1:48">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row>
    <row r="245" spans="1:48">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row>
    <row r="246" spans="1:48">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row>
    <row r="247" spans="1:48">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row>
    <row r="248" spans="1:48">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row>
    <row r="249" spans="1:48">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row>
    <row r="250" spans="1:48">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row>
    <row r="251" spans="1:48">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row>
    <row r="252" spans="1:48">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row>
    <row r="253" spans="1:48">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row>
    <row r="254" spans="1:48">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row>
    <row r="255" spans="1:48">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row>
    <row r="256" spans="1:48">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row>
    <row r="257" spans="1:48">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row>
    <row r="258" spans="1:48">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row>
    <row r="259" spans="1:48">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row>
    <row r="260" spans="1:48">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row>
    <row r="261" spans="1:48">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row>
    <row r="262" spans="1:48">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row>
    <row r="263" spans="1:48">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row>
    <row r="264" spans="1:48">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row>
    <row r="265" spans="1:48">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row>
    <row r="266" spans="1:48">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row>
    <row r="267" spans="1:48">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row>
    <row r="268" spans="1:48">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row>
    <row r="269" spans="1:48">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row>
    <row r="270" spans="1:48">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row>
    <row r="271" spans="1:48">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row>
    <row r="272" spans="1:48">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row>
    <row r="273" spans="1:48">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row>
    <row r="274" spans="1:48">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row>
    <row r="275" spans="1:48">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row>
    <row r="276" spans="1:48">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row>
    <row r="277" spans="1:48">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row>
    <row r="278" spans="1:48">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row>
    <row r="279" spans="1:48">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row>
    <row r="280" spans="1:48">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row>
    <row r="281" spans="1:48">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row>
    <row r="282" spans="1:48">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row>
    <row r="283" spans="1:48">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row>
    <row r="284" spans="1:48">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row>
    <row r="285" spans="1:48">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row>
    <row r="286" spans="1:48">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row>
    <row r="287" spans="1:48">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row>
    <row r="288" spans="1:48">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row>
    <row r="289" spans="1:48">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row>
    <row r="290" spans="1:48">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row>
    <row r="291" spans="1:48">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2" spans="1:48">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row>
    <row r="293" spans="1:48">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row>
    <row r="294" spans="1:48">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row>
    <row r="295" spans="1:48">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row>
    <row r="296" spans="1:48">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row>
    <row r="297" spans="1:48">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row>
    <row r="298" spans="1:48">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row>
    <row r="299" spans="1:48">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row>
    <row r="300" spans="1:48">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row>
    <row r="301" spans="1:48">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row>
    <row r="302" spans="1:48">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row>
    <row r="303" spans="1:48">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row>
    <row r="304" spans="1:48">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row>
    <row r="305" spans="1:48">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row>
    <row r="306" spans="1:48">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row>
    <row r="307" spans="1:48">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row>
    <row r="308" spans="1:48">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row>
    <row r="309" spans="1:48">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row>
    <row r="310" spans="1:48">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row>
    <row r="311" spans="1:48">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row>
    <row r="312" spans="1:48">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row>
    <row r="313" spans="1:48">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row>
    <row r="314" spans="1:48">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row>
    <row r="315" spans="1:48">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row>
    <row r="316" spans="1:48">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row>
    <row r="317" spans="1:48">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row>
    <row r="318" spans="1:48">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row>
    <row r="319" spans="1:48">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row>
    <row r="320" spans="1:48">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row>
    <row r="321" spans="1:48">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row>
    <row r="322" spans="1:48">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row>
    <row r="323" spans="1:48">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row>
    <row r="324" spans="1:48">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row>
    <row r="325" spans="1:48">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row>
    <row r="326" spans="1:48">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row>
    <row r="327" spans="1:48">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row>
    <row r="328" spans="1:48">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row>
    <row r="329" spans="1:48">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row>
    <row r="330" spans="1:48">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row>
    <row r="331" spans="1:48">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row>
    <row r="332" spans="1:48">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row>
    <row r="333" spans="1:48">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row>
    <row r="334" spans="1:48">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row>
    <row r="335" spans="1:48">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row>
    <row r="336" spans="1:48">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row>
    <row r="337" spans="1:48">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row>
    <row r="338" spans="1:48">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row>
    <row r="339" spans="1:48">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row>
    <row r="340" spans="1:48">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row>
    <row r="341" spans="1:48">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row>
    <row r="342" spans="1:48">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row>
    <row r="343" spans="1:48">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row>
    <row r="344" spans="1:48">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row>
    <row r="345" spans="1:48">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row>
    <row r="346" spans="1:48">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row>
    <row r="347" spans="1:48">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row>
    <row r="348" spans="1:48">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row>
    <row r="349" spans="1:48">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row>
    <row r="350" spans="1:48">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row>
    <row r="351" spans="1:48">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row>
    <row r="352" spans="1:48">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row>
    <row r="353" spans="1:48">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row>
    <row r="354" spans="1:48">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row>
    <row r="355" spans="1:48">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row>
    <row r="356" spans="1:48">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row>
    <row r="357" spans="1:48">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row>
    <row r="358" spans="1:48">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row>
    <row r="359" spans="1:48">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row>
    <row r="360" spans="1:48">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row>
    <row r="361" spans="1:48">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row>
    <row r="362" spans="1:48">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row>
    <row r="363" spans="1:48">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1"/>
    </row>
    <row r="364" spans="1:48">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row>
    <row r="365" spans="1:48">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1"/>
    </row>
    <row r="366" spans="1:48">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row>
    <row r="367" spans="1:48">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row>
    <row r="368" spans="1:48">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row>
    <row r="369" spans="1:48">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row>
    <row r="370" spans="1:48">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row>
    <row r="371" spans="1:48">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row>
    <row r="372" spans="1:48">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row>
    <row r="373" spans="1:48">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row>
    <row r="374" spans="1:48">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row>
    <row r="375" spans="1:48">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row>
    <row r="376" spans="1:48">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row>
    <row r="377" spans="1:48">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row>
    <row r="378" spans="1:48">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row>
    <row r="379" spans="1:48">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row>
    <row r="380" spans="1:48">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row>
    <row r="381" spans="1:48">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row>
    <row r="382" spans="1:48">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row>
    <row r="383" spans="1:48">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row>
    <row r="384" spans="1:48">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row>
    <row r="385" spans="1:48">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row>
    <row r="386" spans="1:48">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1"/>
    </row>
    <row r="387" spans="1:48">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row>
    <row r="388" spans="1:48">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row>
    <row r="389" spans="1:48">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row>
    <row r="390" spans="1:48">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row>
    <row r="391" spans="1:48">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row>
    <row r="392" spans="1:48">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row>
    <row r="393" spans="1:48">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row>
    <row r="394" spans="1:48">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row>
    <row r="395" spans="1:48">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row>
    <row r="396" spans="1:48">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row>
    <row r="397" spans="1:48">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row>
    <row r="398" spans="1:48">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row>
    <row r="399" spans="1:48">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row>
    <row r="400" spans="1:48">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row>
    <row r="401" spans="1:48">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row>
    <row r="402" spans="1:48">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row>
    <row r="403" spans="1:48">
      <c r="A403" s="11"/>
      <c r="B403" s="11"/>
    </row>
  </sheetData>
  <sheetProtection algorithmName="SHA-512" hashValue="KkBfsWWCspIiAHuDxgc83rE0l0656cjmC7Dy7f6l5WIgTO+1iDpKBauRA8+qP1UC4CI+5nn82axPWpocWfyeDQ==" saltValue="MjdyUGilwnb1H4NZhjRDUg==" spinCount="100000" sheet="1" selectLockedCells="1"/>
  <mergeCells count="39">
    <mergeCell ref="C29:E29"/>
    <mergeCell ref="G7:G9"/>
    <mergeCell ref="J7:J9"/>
    <mergeCell ref="S7:S9"/>
    <mergeCell ref="T7:T9"/>
    <mergeCell ref="E21:G21"/>
    <mergeCell ref="H21:I21"/>
    <mergeCell ref="L7:L9"/>
    <mergeCell ref="R8:R10"/>
    <mergeCell ref="B7:B9"/>
    <mergeCell ref="C7:C9"/>
    <mergeCell ref="D7:D9"/>
    <mergeCell ref="E7:E9"/>
    <mergeCell ref="F7:F9"/>
    <mergeCell ref="D6:G6"/>
    <mergeCell ref="H6:I6"/>
    <mergeCell ref="J6:AA6"/>
    <mergeCell ref="N7:N9"/>
    <mergeCell ref="H7:H9"/>
    <mergeCell ref="I7:I9"/>
    <mergeCell ref="O7:O9"/>
    <mergeCell ref="P7:P9"/>
    <mergeCell ref="K7:K9"/>
    <mergeCell ref="Y9:Z9"/>
    <mergeCell ref="Q7:Q9"/>
    <mergeCell ref="V7:V9"/>
    <mergeCell ref="Y7:AA8"/>
    <mergeCell ref="U7:U9"/>
    <mergeCell ref="W7:W9"/>
    <mergeCell ref="X7:X9"/>
    <mergeCell ref="AB7:AB9"/>
    <mergeCell ref="AE7:AE9"/>
    <mergeCell ref="AH7:AH9"/>
    <mergeCell ref="AI7:AI9"/>
    <mergeCell ref="AJ7:AJ9"/>
    <mergeCell ref="AG7:AG9"/>
    <mergeCell ref="AD7:AD9"/>
    <mergeCell ref="AF7:AF9"/>
    <mergeCell ref="AC7:AC9"/>
  </mergeCells>
  <conditionalFormatting sqref="H11:I18">
    <cfRule type="expression" dxfId="14" priority="2" stopIfTrue="1">
      <formula>IF($D11="New Construction", TRUE, FALSE)</formula>
    </cfRule>
  </conditionalFormatting>
  <conditionalFormatting sqref="AC11:AJ18">
    <cfRule type="expression" dxfId="13" priority="281" stopIfTrue="1">
      <formula>IF($AG11="No", TRUE, FALSE)</formula>
    </cfRule>
  </conditionalFormatting>
  <dataValidations count="5">
    <dataValidation type="decimal" allowBlank="1" showInputMessage="1" showErrorMessage="1" errorTitle="Invalid Input" error="Min Value 0, Max Value 20" sqref="AA11:AA18" xr:uid="{00000000-0002-0000-0800-000000000000}">
      <formula1>0</formula1>
      <formula2>20</formula2>
    </dataValidation>
    <dataValidation type="decimal" allowBlank="1" showInputMessage="1" showErrorMessage="1" errorTitle="Invalid Input" error="Min value 0, Max Value 20" sqref="I11:I18" xr:uid="{00000000-0002-0000-0800-000001000000}">
      <formula1>0</formula1>
      <formula2>20</formula2>
    </dataValidation>
    <dataValidation type="list" allowBlank="1" showInputMessage="1" showErrorMessage="1" sqref="F11:F18" xr:uid="{868E764C-ECAD-4073-A98C-74EF31052EA4}">
      <formula1>Zip_Code</formula1>
    </dataValidation>
    <dataValidation type="list" allowBlank="1" showInputMessage="1" showErrorMessage="1" sqref="E11:E18" xr:uid="{00000000-0002-0000-0800-000004000000}">
      <formula1>Facility_Types</formula1>
    </dataValidation>
    <dataValidation type="list" allowBlank="1" showInputMessage="1" showErrorMessage="1" sqref="D11:D18" xr:uid="{81BFDE17-C920-4D10-8BEE-DF8AD4653D09}">
      <formula1>$C$25:$C$26</formula1>
    </dataValidation>
  </dataValidation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CI172"/>
  <sheetViews>
    <sheetView zoomScaleNormal="100" workbookViewId="0">
      <selection activeCell="D11" sqref="D11:F11"/>
    </sheetView>
  </sheetViews>
  <sheetFormatPr defaultRowHeight="15"/>
  <cols>
    <col min="1" max="1" width="1.5703125" customWidth="1"/>
    <col min="2" max="2" width="6.85546875" customWidth="1"/>
    <col min="3" max="3" width="33.140625" bestFit="1" customWidth="1"/>
    <col min="4" max="4" width="20.42578125" customWidth="1"/>
    <col min="5" max="5" width="31.7109375" customWidth="1"/>
    <col min="6" max="6" width="20.28515625" bestFit="1" customWidth="1"/>
    <col min="7" max="7" width="15" customWidth="1"/>
    <col min="8" max="8" width="19.42578125" bestFit="1" customWidth="1"/>
    <col min="9" max="9" width="19.28515625" bestFit="1" customWidth="1"/>
    <col min="10" max="10" width="24.28515625" bestFit="1" customWidth="1"/>
    <col min="11" max="11" width="22.7109375" customWidth="1"/>
    <col min="12" max="12" width="20.85546875" customWidth="1"/>
    <col min="13" max="13" width="17.28515625" customWidth="1"/>
    <col min="14" max="14" width="16.85546875" customWidth="1"/>
    <col min="15" max="15" width="20.85546875" customWidth="1"/>
    <col min="16" max="16" width="25" customWidth="1"/>
    <col min="17" max="20" width="8.140625" hidden="1" customWidth="1"/>
    <col min="21" max="21" width="8.140625" customWidth="1"/>
    <col min="22" max="28" width="8.140625" hidden="1" customWidth="1"/>
    <col min="29" max="29" width="8.140625" customWidth="1"/>
    <col min="30" max="30" width="9.140625" customWidth="1"/>
    <col min="31" max="31" width="12.42578125" customWidth="1"/>
    <col min="32" max="39" width="8.140625" hidden="1" customWidth="1"/>
    <col min="40" max="40" width="9.28515625" customWidth="1"/>
    <col min="41" max="41" width="8.140625" customWidth="1"/>
    <col min="42" max="42" width="13.28515625" customWidth="1"/>
    <col min="43" max="46" width="8.140625" hidden="1" customWidth="1"/>
    <col min="47" max="47" width="10.5703125" customWidth="1"/>
    <col min="48" max="48" width="16.42578125" customWidth="1"/>
    <col min="49" max="49" width="11.7109375" hidden="1" customWidth="1"/>
    <col min="50" max="50" width="14.5703125" hidden="1" customWidth="1"/>
    <col min="51" max="51" width="14" customWidth="1"/>
    <col min="52" max="52" width="16.140625" hidden="1" customWidth="1"/>
    <col min="53" max="53" width="12.140625" customWidth="1"/>
    <col min="54" max="54" width="16" customWidth="1"/>
    <col min="55" max="55" width="28.7109375" hidden="1" customWidth="1"/>
    <col min="56" max="56" width="12.5703125" hidden="1" customWidth="1"/>
    <col min="57" max="57" width="2.28515625" hidden="1" customWidth="1"/>
    <col min="58" max="58" width="34.42578125" bestFit="1" customWidth="1"/>
  </cols>
  <sheetData>
    <row r="1" spans="1:87" ht="29.25" customHeight="1">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97" t="s">
        <v>1030</v>
      </c>
      <c r="BG1" s="11"/>
      <c r="BH1" s="11"/>
      <c r="BI1" s="11"/>
      <c r="BJ1" s="11"/>
      <c r="BK1" s="11"/>
      <c r="BL1" s="11"/>
      <c r="BM1" s="11"/>
      <c r="BN1" s="11"/>
      <c r="BO1" s="11"/>
      <c r="BP1" s="11"/>
      <c r="BQ1" s="11"/>
      <c r="BR1" s="11"/>
      <c r="BS1" s="11"/>
      <c r="BT1" s="11"/>
      <c r="BU1" s="11"/>
      <c r="BV1" s="33"/>
      <c r="BW1" s="33"/>
      <c r="BX1" s="33"/>
      <c r="BY1" s="33"/>
      <c r="BZ1" s="33"/>
      <c r="CA1" s="33"/>
      <c r="CB1" s="33"/>
      <c r="CC1" s="33"/>
      <c r="CD1" s="33"/>
      <c r="CE1" s="33"/>
      <c r="CF1" s="33"/>
      <c r="CG1" s="33"/>
      <c r="CH1" s="33"/>
      <c r="CI1" s="33"/>
    </row>
    <row r="2" spans="1:87" ht="40.9" customHeight="1">
      <c r="A2" s="11"/>
      <c r="B2" s="1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1"/>
      <c r="BF2" s="11"/>
      <c r="BG2" s="11"/>
      <c r="BH2" s="11"/>
      <c r="BI2" s="11"/>
      <c r="BJ2" s="11"/>
      <c r="BK2" s="11"/>
      <c r="BL2" s="11"/>
      <c r="BM2" s="11"/>
      <c r="BN2" s="11"/>
      <c r="BO2" s="11"/>
      <c r="BP2" s="11"/>
      <c r="BQ2" s="11"/>
      <c r="BR2" s="11"/>
      <c r="BS2" s="11"/>
      <c r="BT2" s="11"/>
      <c r="BU2" s="11"/>
      <c r="BV2" s="33"/>
      <c r="BW2" s="33"/>
      <c r="BX2" s="33"/>
      <c r="BY2" s="33"/>
      <c r="BZ2" s="33"/>
      <c r="CA2" s="33"/>
      <c r="CB2" s="33"/>
      <c r="CC2" s="33"/>
      <c r="CD2" s="33"/>
      <c r="CE2" s="33"/>
      <c r="CF2" s="33"/>
      <c r="CG2" s="33"/>
      <c r="CH2" s="33"/>
      <c r="CI2" s="33"/>
    </row>
    <row r="3" spans="1:87" ht="40.9" customHeight="1">
      <c r="A3" s="11"/>
      <c r="B3" s="266"/>
      <c r="C3" s="266"/>
      <c r="D3" s="198"/>
      <c r="E3" s="198"/>
      <c r="F3" s="198"/>
      <c r="G3" s="198"/>
      <c r="H3" s="198"/>
      <c r="I3" s="198"/>
      <c r="J3" s="198"/>
      <c r="K3" s="199"/>
      <c r="L3" s="199"/>
      <c r="M3" s="199"/>
      <c r="N3" s="199"/>
      <c r="O3" s="199"/>
      <c r="P3" s="199"/>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1"/>
      <c r="BG3" s="11"/>
      <c r="BH3" s="11"/>
      <c r="BI3" s="11"/>
      <c r="BJ3" s="11"/>
      <c r="BK3" s="11"/>
      <c r="BL3" s="11"/>
      <c r="BM3" s="11"/>
      <c r="BN3" s="11"/>
      <c r="BO3" s="11"/>
      <c r="BP3" s="11"/>
      <c r="BQ3" s="11"/>
      <c r="BR3" s="11"/>
      <c r="BS3" s="11"/>
      <c r="BT3" s="11"/>
      <c r="BU3" s="11"/>
      <c r="BV3" s="33"/>
      <c r="BW3" s="33"/>
      <c r="BX3" s="33"/>
      <c r="BY3" s="33"/>
      <c r="BZ3" s="33"/>
      <c r="CA3" s="33"/>
      <c r="CB3" s="33"/>
      <c r="CC3" s="33"/>
      <c r="CD3" s="33"/>
      <c r="CE3" s="33"/>
      <c r="CF3" s="33"/>
      <c r="CG3" s="33"/>
      <c r="CH3" s="33"/>
      <c r="CI3" s="33"/>
    </row>
    <row r="4" spans="1:87" ht="21" customHeight="1">
      <c r="A4" s="11"/>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1"/>
      <c r="BG4" s="11"/>
      <c r="BH4" s="11"/>
      <c r="BI4" s="11"/>
      <c r="BJ4" s="11"/>
      <c r="BK4" s="11"/>
      <c r="BL4" s="11"/>
      <c r="BM4" s="11"/>
      <c r="BN4" s="11"/>
      <c r="BO4" s="11"/>
      <c r="BP4" s="11"/>
      <c r="BQ4" s="11"/>
      <c r="BR4" s="11"/>
      <c r="BS4" s="11"/>
      <c r="BT4" s="11"/>
      <c r="BU4" s="11"/>
      <c r="BV4" s="33"/>
      <c r="BW4" s="33"/>
      <c r="BX4" s="33"/>
      <c r="BY4" s="33"/>
      <c r="BZ4" s="33"/>
      <c r="CA4" s="33"/>
      <c r="CB4" s="33"/>
      <c r="CC4" s="33"/>
      <c r="CD4" s="33"/>
      <c r="CE4" s="33"/>
      <c r="CF4" s="33"/>
      <c r="CG4" s="33"/>
      <c r="CH4" s="33"/>
      <c r="CI4" s="33"/>
    </row>
    <row r="5" spans="1:87" ht="1.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33"/>
      <c r="BW5" s="33"/>
      <c r="BX5" s="33"/>
      <c r="BY5" s="33"/>
      <c r="BZ5" s="33"/>
      <c r="CA5" s="33"/>
      <c r="CB5" s="33"/>
      <c r="CC5" s="33"/>
      <c r="CD5" s="33"/>
      <c r="CE5" s="33"/>
      <c r="CF5" s="33"/>
      <c r="CG5" s="33"/>
      <c r="CH5" s="33"/>
      <c r="CI5" s="33"/>
    </row>
    <row r="6" spans="1:87" ht="15.75" customHeight="1">
      <c r="A6" s="11"/>
      <c r="B6" s="150"/>
      <c r="C6" s="150"/>
      <c r="D6" s="779" t="s">
        <v>542</v>
      </c>
      <c r="E6" s="780"/>
      <c r="F6" s="780"/>
      <c r="G6" s="781"/>
      <c r="H6" s="779" t="s">
        <v>324</v>
      </c>
      <c r="I6" s="780"/>
      <c r="J6" s="780"/>
      <c r="K6" s="779" t="s">
        <v>114</v>
      </c>
      <c r="L6" s="780"/>
      <c r="M6" s="780"/>
      <c r="N6" s="780"/>
      <c r="O6" s="780"/>
      <c r="P6" s="491"/>
      <c r="Q6" s="147"/>
      <c r="R6" s="147"/>
      <c r="S6" s="147"/>
      <c r="T6" s="147"/>
      <c r="U6" s="150"/>
      <c r="V6" s="147"/>
      <c r="W6" s="147"/>
      <c r="X6" s="147"/>
      <c r="Y6" s="147"/>
      <c r="Z6" s="147"/>
      <c r="AA6" s="147"/>
      <c r="AB6" s="147"/>
      <c r="AC6" s="150"/>
      <c r="AD6" s="150"/>
      <c r="AE6" s="150"/>
      <c r="AF6" s="147"/>
      <c r="AG6" s="147"/>
      <c r="AH6" s="147"/>
      <c r="AI6" s="147"/>
      <c r="AJ6" s="147"/>
      <c r="AK6" s="147"/>
      <c r="AL6" s="147"/>
      <c r="AM6" s="147"/>
      <c r="AN6" s="150"/>
      <c r="AO6" s="150"/>
      <c r="AP6" s="150"/>
      <c r="AQ6" s="147"/>
      <c r="AR6" s="147"/>
      <c r="AS6" s="147"/>
      <c r="AT6" s="147"/>
      <c r="AU6" s="150"/>
      <c r="AV6" s="150"/>
      <c r="AW6" s="147"/>
      <c r="AX6" s="147"/>
      <c r="AY6" s="150"/>
      <c r="AZ6" s="147"/>
      <c r="BA6" s="150"/>
      <c r="BB6" s="150"/>
      <c r="BC6" s="147"/>
      <c r="BD6" s="147"/>
      <c r="BE6" s="147"/>
      <c r="BF6" s="11"/>
      <c r="BG6" s="11"/>
      <c r="BH6" s="11"/>
      <c r="BI6" s="11"/>
      <c r="BJ6" s="11"/>
      <c r="BK6" s="11"/>
      <c r="BL6" s="11"/>
      <c r="BM6" s="11"/>
      <c r="BN6" s="11"/>
      <c r="BO6" s="11"/>
      <c r="BP6" s="11"/>
      <c r="BQ6" s="11"/>
      <c r="BR6" s="11"/>
      <c r="BS6" s="11"/>
      <c r="BT6" s="11"/>
      <c r="BU6" s="11"/>
      <c r="BV6" s="33"/>
      <c r="BW6" s="33"/>
      <c r="BX6" s="33"/>
      <c r="BY6" s="33"/>
      <c r="BZ6" s="33"/>
      <c r="CA6" s="33"/>
      <c r="CB6" s="33"/>
      <c r="CC6" s="33"/>
      <c r="CD6" s="33"/>
      <c r="CE6" s="33"/>
      <c r="CF6" s="33"/>
      <c r="CG6" s="33"/>
      <c r="CH6" s="33"/>
      <c r="CI6" s="33"/>
    </row>
    <row r="7" spans="1:87" ht="17.25" customHeight="1">
      <c r="A7" s="11"/>
      <c r="B7" s="696" t="s">
        <v>64</v>
      </c>
      <c r="C7" s="696" t="s">
        <v>65</v>
      </c>
      <c r="D7" s="719" t="s">
        <v>115</v>
      </c>
      <c r="E7" s="696" t="s">
        <v>543</v>
      </c>
      <c r="F7" s="696" t="s">
        <v>117</v>
      </c>
      <c r="G7" s="712" t="s">
        <v>118</v>
      </c>
      <c r="H7" s="696" t="s">
        <v>572</v>
      </c>
      <c r="I7" s="696" t="s">
        <v>573</v>
      </c>
      <c r="J7" s="696" t="s">
        <v>574</v>
      </c>
      <c r="K7" s="719" t="s">
        <v>186</v>
      </c>
      <c r="L7" s="696" t="s">
        <v>495</v>
      </c>
      <c r="M7" s="696" t="s">
        <v>402</v>
      </c>
      <c r="N7" s="696" t="s">
        <v>575</v>
      </c>
      <c r="O7" s="696" t="s">
        <v>576</v>
      </c>
      <c r="P7" s="696" t="s">
        <v>354</v>
      </c>
      <c r="Q7" s="698" t="s">
        <v>81</v>
      </c>
      <c r="R7" s="698" t="s">
        <v>577</v>
      </c>
      <c r="S7" s="698" t="s">
        <v>578</v>
      </c>
      <c r="T7" s="698" t="s">
        <v>579</v>
      </c>
      <c r="U7" s="696" t="s">
        <v>136</v>
      </c>
      <c r="V7" s="698" t="s">
        <v>1031</v>
      </c>
      <c r="W7" s="698" t="s">
        <v>559</v>
      </c>
      <c r="X7" s="698" t="s">
        <v>548</v>
      </c>
      <c r="Y7" s="698" t="s">
        <v>549</v>
      </c>
      <c r="Z7" s="698" t="s">
        <v>550</v>
      </c>
      <c r="AA7" s="698" t="s">
        <v>551</v>
      </c>
      <c r="AB7" s="698" t="s">
        <v>552</v>
      </c>
      <c r="AC7" s="719" t="s">
        <v>553</v>
      </c>
      <c r="AD7" s="696"/>
      <c r="AE7" s="712"/>
      <c r="AF7" s="698" t="s">
        <v>580</v>
      </c>
      <c r="AG7" s="458"/>
      <c r="AH7" s="698" t="s">
        <v>581</v>
      </c>
      <c r="AI7" s="698" t="s">
        <v>582</v>
      </c>
      <c r="AJ7" s="698" t="s">
        <v>583</v>
      </c>
      <c r="AK7" s="698" t="s">
        <v>584</v>
      </c>
      <c r="AL7" s="698" t="s">
        <v>585</v>
      </c>
      <c r="AM7" s="698" t="s">
        <v>586</v>
      </c>
      <c r="AN7" s="719" t="s">
        <v>587</v>
      </c>
      <c r="AO7" s="696"/>
      <c r="AP7" s="712"/>
      <c r="AQ7" s="698" t="s">
        <v>588</v>
      </c>
      <c r="AR7" s="698" t="s">
        <v>589</v>
      </c>
      <c r="AS7" s="698" t="s">
        <v>590</v>
      </c>
      <c r="AT7" s="698" t="s">
        <v>591</v>
      </c>
      <c r="AU7" s="696" t="s">
        <v>592</v>
      </c>
      <c r="AV7" s="696" t="s">
        <v>593</v>
      </c>
      <c r="AW7" s="698" t="s">
        <v>594</v>
      </c>
      <c r="AX7" s="698" t="s">
        <v>595</v>
      </c>
      <c r="AY7" s="696" t="s">
        <v>88</v>
      </c>
      <c r="AZ7" s="698" t="s">
        <v>204</v>
      </c>
      <c r="BA7" s="696" t="s">
        <v>89</v>
      </c>
      <c r="BB7" s="696" t="s">
        <v>509</v>
      </c>
      <c r="BC7" s="698" t="s">
        <v>132</v>
      </c>
      <c r="BD7" s="698" t="s">
        <v>133</v>
      </c>
      <c r="BE7" s="698" t="s">
        <v>134</v>
      </c>
      <c r="BF7" s="11"/>
      <c r="BG7" s="11"/>
      <c r="BH7" s="11"/>
      <c r="BI7" s="11"/>
      <c r="BJ7" s="11"/>
      <c r="BK7" s="11"/>
      <c r="BL7" s="11"/>
      <c r="BM7" s="11"/>
      <c r="BN7" s="11"/>
      <c r="BO7" s="11"/>
      <c r="BP7" s="11"/>
      <c r="BQ7" s="11"/>
      <c r="BR7" s="11"/>
      <c r="BS7" s="11"/>
      <c r="BT7" s="11"/>
      <c r="BU7" s="11"/>
      <c r="BV7" s="33"/>
      <c r="BW7" s="33"/>
      <c r="BX7" s="33"/>
      <c r="BY7" s="33"/>
      <c r="BZ7" s="33"/>
      <c r="CA7" s="33"/>
      <c r="CB7" s="33"/>
      <c r="CC7" s="33"/>
      <c r="CD7" s="33"/>
      <c r="CE7" s="33"/>
      <c r="CF7" s="33"/>
      <c r="CG7" s="33"/>
      <c r="CH7" s="33"/>
      <c r="CI7" s="33"/>
    </row>
    <row r="8" spans="1:87" ht="14.25" customHeight="1">
      <c r="A8" s="11"/>
      <c r="B8" s="696"/>
      <c r="C8" s="696"/>
      <c r="D8" s="719"/>
      <c r="E8" s="696"/>
      <c r="F8" s="696"/>
      <c r="G8" s="712"/>
      <c r="H8" s="696"/>
      <c r="I8" s="696"/>
      <c r="J8" s="696"/>
      <c r="K8" s="719"/>
      <c r="L8" s="696"/>
      <c r="M8" s="696"/>
      <c r="N8" s="696"/>
      <c r="O8" s="696"/>
      <c r="P8" s="696"/>
      <c r="Q8" s="698"/>
      <c r="R8" s="698"/>
      <c r="S8" s="698"/>
      <c r="T8" s="698"/>
      <c r="U8" s="696"/>
      <c r="V8" s="698"/>
      <c r="W8" s="698"/>
      <c r="X8" s="698"/>
      <c r="Y8" s="698"/>
      <c r="Z8" s="698"/>
      <c r="AA8" s="698"/>
      <c r="AB8" s="698"/>
      <c r="AC8" s="719"/>
      <c r="AD8" s="696"/>
      <c r="AE8" s="712"/>
      <c r="AF8" s="698"/>
      <c r="AG8" s="698" t="s">
        <v>1031</v>
      </c>
      <c r="AH8" s="698"/>
      <c r="AI8" s="698"/>
      <c r="AJ8" s="698"/>
      <c r="AK8" s="698"/>
      <c r="AL8" s="698"/>
      <c r="AM8" s="698"/>
      <c r="AN8" s="719"/>
      <c r="AO8" s="696"/>
      <c r="AP8" s="712"/>
      <c r="AQ8" s="698"/>
      <c r="AR8" s="698"/>
      <c r="AS8" s="698"/>
      <c r="AT8" s="698"/>
      <c r="AU8" s="696"/>
      <c r="AV8" s="696"/>
      <c r="AW8" s="698"/>
      <c r="AX8" s="698"/>
      <c r="AY8" s="696"/>
      <c r="AZ8" s="698"/>
      <c r="BA8" s="696"/>
      <c r="BB8" s="696"/>
      <c r="BC8" s="698"/>
      <c r="BD8" s="698"/>
      <c r="BE8" s="698"/>
      <c r="BF8" s="11"/>
      <c r="BG8" s="11"/>
      <c r="BH8" s="11"/>
      <c r="BI8" s="11"/>
      <c r="BJ8" s="11"/>
      <c r="BK8" s="11"/>
      <c r="BL8" s="11"/>
      <c r="BM8" s="11"/>
      <c r="BN8" s="11"/>
      <c r="BO8" s="11"/>
      <c r="BP8" s="11"/>
      <c r="BQ8" s="11"/>
      <c r="BR8" s="11"/>
      <c r="BS8" s="11"/>
      <c r="BT8" s="11"/>
      <c r="BU8" s="11"/>
      <c r="BV8" s="33"/>
      <c r="BW8" s="33"/>
      <c r="BX8" s="33"/>
      <c r="BY8" s="33"/>
      <c r="BZ8" s="33"/>
      <c r="CA8" s="33"/>
      <c r="CB8" s="33"/>
      <c r="CC8" s="33"/>
      <c r="CD8" s="33"/>
      <c r="CE8" s="33"/>
      <c r="CF8" s="33"/>
      <c r="CG8" s="33"/>
      <c r="CH8" s="33"/>
      <c r="CI8" s="33"/>
    </row>
    <row r="9" spans="1:87" ht="20.25" customHeight="1">
      <c r="A9" s="11"/>
      <c r="B9" s="724"/>
      <c r="C9" s="724"/>
      <c r="D9" s="723"/>
      <c r="E9" s="724"/>
      <c r="F9" s="724"/>
      <c r="G9" s="742"/>
      <c r="H9" s="724"/>
      <c r="I9" s="724"/>
      <c r="J9" s="724"/>
      <c r="K9" s="723"/>
      <c r="L9" s="724"/>
      <c r="M9" s="724"/>
      <c r="N9" s="724"/>
      <c r="O9" s="724"/>
      <c r="P9" s="724"/>
      <c r="Q9" s="760"/>
      <c r="R9" s="760"/>
      <c r="S9" s="760"/>
      <c r="T9" s="760"/>
      <c r="U9" s="724"/>
      <c r="V9" s="760"/>
      <c r="W9" s="760"/>
      <c r="X9" s="760"/>
      <c r="Y9" s="760"/>
      <c r="Z9" s="760"/>
      <c r="AA9" s="760"/>
      <c r="AB9" s="760"/>
      <c r="AC9" s="786" t="s">
        <v>92</v>
      </c>
      <c r="AD9" s="787"/>
      <c r="AE9" s="457" t="s">
        <v>93</v>
      </c>
      <c r="AF9" s="760"/>
      <c r="AG9" s="698"/>
      <c r="AH9" s="760"/>
      <c r="AI9" s="760"/>
      <c r="AJ9" s="760"/>
      <c r="AK9" s="760"/>
      <c r="AL9" s="760"/>
      <c r="AM9" s="760"/>
      <c r="AN9" s="786" t="s">
        <v>92</v>
      </c>
      <c r="AO9" s="787"/>
      <c r="AP9" s="215" t="s">
        <v>93</v>
      </c>
      <c r="AQ9" s="760"/>
      <c r="AR9" s="760"/>
      <c r="AS9" s="760"/>
      <c r="AT9" s="760"/>
      <c r="AU9" s="724"/>
      <c r="AV9" s="724"/>
      <c r="AW9" s="760"/>
      <c r="AX9" s="760"/>
      <c r="AY9" s="724"/>
      <c r="AZ9" s="760"/>
      <c r="BA9" s="724"/>
      <c r="BB9" s="724"/>
      <c r="BC9" s="760"/>
      <c r="BD9" s="760"/>
      <c r="BE9" s="760"/>
      <c r="BF9" s="11"/>
      <c r="BG9" s="11"/>
      <c r="BH9" s="11"/>
      <c r="BI9" s="11"/>
      <c r="BJ9" s="11"/>
      <c r="BK9" s="11"/>
      <c r="BL9" s="11"/>
      <c r="BM9" s="11"/>
      <c r="BN9" s="11"/>
      <c r="BO9" s="11"/>
      <c r="BP9" s="11"/>
      <c r="BQ9" s="11"/>
      <c r="BR9" s="11"/>
      <c r="BS9" s="11"/>
      <c r="BT9" s="11"/>
      <c r="BU9" s="11"/>
      <c r="BV9" s="33"/>
      <c r="BW9" s="33"/>
      <c r="BX9" s="33"/>
      <c r="BY9" s="33"/>
      <c r="BZ9" s="33"/>
      <c r="CA9" s="33"/>
      <c r="CB9" s="33"/>
      <c r="CC9" s="33"/>
      <c r="CD9" s="33"/>
      <c r="CE9" s="33"/>
      <c r="CF9" s="33"/>
      <c r="CG9" s="33"/>
      <c r="CH9" s="33"/>
      <c r="CI9" s="33"/>
    </row>
    <row r="10" spans="1:87" ht="24.75" hidden="1" customHeight="1">
      <c r="A10" s="11"/>
      <c r="B10" s="483" t="s">
        <v>211</v>
      </c>
      <c r="C10" s="483"/>
      <c r="D10" s="483" t="s">
        <v>212</v>
      </c>
      <c r="E10" s="483" t="s">
        <v>213</v>
      </c>
      <c r="F10" s="483"/>
      <c r="G10" s="483"/>
      <c r="H10" s="483" t="s">
        <v>214</v>
      </c>
      <c r="I10" s="483" t="s">
        <v>216</v>
      </c>
      <c r="J10" s="483" t="s">
        <v>358</v>
      </c>
      <c r="K10" s="483" t="s">
        <v>137</v>
      </c>
      <c r="L10" s="483" t="s">
        <v>220</v>
      </c>
      <c r="M10" s="483" t="s">
        <v>223</v>
      </c>
      <c r="N10" s="483" t="s">
        <v>224</v>
      </c>
      <c r="O10" s="483" t="s">
        <v>360</v>
      </c>
      <c r="P10" s="483" t="s">
        <v>221</v>
      </c>
      <c r="Q10" s="483"/>
      <c r="R10" s="483"/>
      <c r="S10" s="483"/>
      <c r="T10" s="483"/>
      <c r="U10" s="483" t="s">
        <v>42</v>
      </c>
      <c r="V10" s="483"/>
      <c r="W10" s="483"/>
      <c r="X10" s="483"/>
      <c r="Y10" s="483"/>
      <c r="Z10" s="483"/>
      <c r="AA10" s="483"/>
      <c r="AB10" s="483"/>
      <c r="AC10" s="483"/>
      <c r="AD10" s="483"/>
      <c r="AE10" s="595" t="s">
        <v>555</v>
      </c>
      <c r="AF10" s="483"/>
      <c r="AG10" s="760"/>
      <c r="AH10" s="483"/>
      <c r="AI10" s="483"/>
      <c r="AJ10" s="483"/>
      <c r="AK10" s="483"/>
      <c r="AL10" s="483"/>
      <c r="AM10" s="483"/>
      <c r="AN10" s="483"/>
      <c r="AO10" s="483"/>
      <c r="AP10" s="483" t="s">
        <v>596</v>
      </c>
      <c r="AQ10" s="483"/>
      <c r="AR10" s="483"/>
      <c r="AS10" s="483"/>
      <c r="AT10" s="483"/>
      <c r="AU10" s="483" t="s">
        <v>226</v>
      </c>
      <c r="AV10" s="483" t="s">
        <v>227</v>
      </c>
      <c r="AW10" s="483"/>
      <c r="AX10" s="483"/>
      <c r="AY10" s="483" t="s">
        <v>228</v>
      </c>
      <c r="AZ10" s="483" t="s">
        <v>230</v>
      </c>
      <c r="BA10" s="483" t="s">
        <v>229</v>
      </c>
      <c r="BB10" s="483" t="s">
        <v>231</v>
      </c>
      <c r="BC10" s="483"/>
      <c r="BD10" s="483"/>
      <c r="BE10" s="483" t="s">
        <v>232</v>
      </c>
      <c r="BF10" s="11"/>
      <c r="BG10" s="11"/>
      <c r="BH10" s="11"/>
      <c r="BI10" s="11"/>
      <c r="BJ10" s="11"/>
      <c r="BK10" s="11"/>
      <c r="BL10" s="11"/>
      <c r="BM10" s="11"/>
      <c r="BN10" s="11"/>
      <c r="BO10" s="11"/>
      <c r="BP10" s="11"/>
      <c r="BQ10" s="11"/>
      <c r="BR10" s="11"/>
      <c r="BS10" s="11"/>
      <c r="BT10" s="11"/>
      <c r="BU10" s="11"/>
      <c r="BV10" s="33"/>
      <c r="BW10" s="33"/>
      <c r="BX10" s="33"/>
      <c r="BY10" s="33"/>
      <c r="BZ10" s="33"/>
      <c r="CA10" s="33"/>
      <c r="CB10" s="33"/>
      <c r="CC10" s="33"/>
      <c r="CD10" s="33"/>
      <c r="CE10" s="33"/>
      <c r="CF10" s="33"/>
      <c r="CG10" s="33"/>
      <c r="CH10" s="33"/>
      <c r="CI10" s="33"/>
    </row>
    <row r="11" spans="1:87" s="120" customFormat="1" ht="19.5" customHeight="1">
      <c r="A11" s="53"/>
      <c r="B11" s="216">
        <v>1</v>
      </c>
      <c r="C11" s="217" t="s">
        <v>597</v>
      </c>
      <c r="D11" s="168"/>
      <c r="E11" s="168"/>
      <c r="F11" s="31"/>
      <c r="G11" s="149" t="str">
        <f>IFERROR(VLOOKUP(F11, 'Lookup Tables'!$B$5:$C$2226, 2, FALSE), "")</f>
        <v/>
      </c>
      <c r="H11" s="168"/>
      <c r="I11" s="168"/>
      <c r="J11" s="400"/>
      <c r="K11" s="218"/>
      <c r="L11" s="218"/>
      <c r="M11" s="218"/>
      <c r="N11" s="380"/>
      <c r="O11" s="380"/>
      <c r="P11" s="380"/>
      <c r="Q11" s="240" t="str">
        <f>IFERROR(VLOOKUP(E11, 'Lookup Tables'!$AC$5:$AL$27, MATCH(G11, 'Lookup Tables'!$AD$5:$AL$5,1)+1, FALSE),"")</f>
        <v/>
      </c>
      <c r="R11" s="302" t="str">
        <f>IFERROR(VLOOKUP(E11, 'Lookup Tables'!$G$5:$P$19, MATCH(G11, 'Lookup Tables'!$H$5:$P$5,1)+1, FALSE),"")</f>
        <v/>
      </c>
      <c r="S11" s="302" t="str">
        <f>IFERROR(VLOOKUP(E11, 'Lookup Tables'!$R$5:$AA$27, MATCH(G11, 'Lookup Tables'!$S$5:$AA$5,1)+1, FALSE),"")</f>
        <v/>
      </c>
      <c r="T11" s="303">
        <f t="shared" ref="T11:T18" si="0">N11/1000</f>
        <v>0</v>
      </c>
      <c r="U11" s="218"/>
      <c r="V11" s="303" cm="1">
        <f t="array" ref="V11">_xlfn.IFS(T11&lt;7,7,AND(T11&gt;=7,T11&lt;=15),T11,T11&gt;15,15)</f>
        <v>7</v>
      </c>
      <c r="W11" s="240" t="str">
        <f>IF(OR(D11="",N11=""),"",$F$25+(V11*$F$26))</f>
        <v/>
      </c>
      <c r="X11" s="240" t="str">
        <f>IF(OR(D11="",N11=""),"",$G$25+($G$26*V11))</f>
        <v/>
      </c>
      <c r="Y11" s="240" t="str">
        <f>IF(D11="","",IF(D11="Replacement",W11,X11))</f>
        <v/>
      </c>
      <c r="Z11" s="240" t="str">
        <f>IF(AND(H11&lt;$C$23,D11="Replacement"),IF(I11="", Y11, I11),Y11)</f>
        <v/>
      </c>
      <c r="AA11" s="240" t="str">
        <f>IF(OR(D11="",N11=""),"",$J$25+($J$26*V11))</f>
        <v/>
      </c>
      <c r="AB11" s="240" t="str">
        <f>IF(OR(D11="",N11=""),"",$K$25+($K$26*V11))</f>
        <v/>
      </c>
      <c r="AC11" s="248" t="str">
        <f>IF(OR(D11="",N11=""),"",ROUND(IF(D11="Replacement",AA11,AB11), 1))</f>
        <v/>
      </c>
      <c r="AD11" s="249" t="str">
        <f>IF(AC11="", "", "EER")</f>
        <v/>
      </c>
      <c r="AE11" s="241"/>
      <c r="AF11" s="240">
        <f>O11/1000</f>
        <v>0</v>
      </c>
      <c r="AG11" s="240" cm="1">
        <f t="array" ref="AG11">_xlfn.IFS(AF11&lt;7,7,AND(AF11&gt;=7,AF11&lt;=15),AF11,AF11&gt;15,15)</f>
        <v>7</v>
      </c>
      <c r="AH11" s="240" t="str">
        <f>IF(OR(D11="",O11=""),"",$H$25+$H$26*AG11)</f>
        <v/>
      </c>
      <c r="AI11" s="240" t="str">
        <f>IF(OR(D11="",O11=""),"",$I$25+AG11*$I$26)</f>
        <v/>
      </c>
      <c r="AJ11" s="240" t="str">
        <f t="shared" ref="AJ11:AJ18" si="1">IF(D11="","",IF(D11="Replacement",AH11,AI11))</f>
        <v/>
      </c>
      <c r="AK11" s="240" t="str">
        <f t="shared" ref="AK11:AK18" si="2">IF(AND(H11&lt;$C$23,D11="Replacement"), IF(J11="",AJ11,J11),AJ11)</f>
        <v/>
      </c>
      <c r="AL11" s="240" t="str">
        <f>IF(OR(D11="",O11=""),"",$L$25+$L$26*AG11)</f>
        <v/>
      </c>
      <c r="AM11" s="240" t="str">
        <f>IF(OR(D11="",O11=""),"",$M$25+$M$26*AG11)</f>
        <v/>
      </c>
      <c r="AN11" s="248" t="str">
        <f t="shared" ref="AN11:AN18" si="3">IF(OR(D11="",N11=""),"",ROUND(IF(D11="Replacement",AL11,AM11), 1))</f>
        <v/>
      </c>
      <c r="AO11" s="247" t="str">
        <f>IF(AN11="", "", "COP")</f>
        <v/>
      </c>
      <c r="AP11" s="241"/>
      <c r="AQ11" s="240" t="str">
        <f>IFERROR((N11/1000)*((1/Z11)-(1/AE11))*U11*Q11,"")</f>
        <v/>
      </c>
      <c r="AR11" s="240" t="str">
        <f>IF(ISNUMBER(AX11),0, "")</f>
        <v/>
      </c>
      <c r="AS11" s="240" t="str">
        <f>IFERROR((N11/1000)*((1/Z11)-(1/AE11))*U11,"")</f>
        <v/>
      </c>
      <c r="AT11" s="240" t="str">
        <f>IF(ISNUMBER(AX11),0, "")</f>
        <v/>
      </c>
      <c r="AU11" s="507" t="str">
        <f t="shared" ref="AU11:AU18" si="4">IFERROR(ROUND(IF(OR(D11="", F11=""), "", AS11+AT11),6), "")</f>
        <v/>
      </c>
      <c r="AV11" s="508" t="str">
        <f t="shared" ref="AV11:AV18" si="5">IFERROR(ROUND(IF(OR(D11="", F11=""), "", AQ11+AR11), 6),"")</f>
        <v/>
      </c>
      <c r="AW11" s="242" t="str">
        <f>IFERROR(IF(OR(D11="", F11=""), "", (N11/1000)*((1/Z11)-(1/AE11))*R11), "")</f>
        <v/>
      </c>
      <c r="AX11" s="243" t="str">
        <f>IFERROR(IF(OR(D11="", F11=""), "", (O11/1000)*((1/AK11)-(1/AP11))*S11*(1/3.412)), "")</f>
        <v/>
      </c>
      <c r="AY11" s="509" t="str">
        <f t="shared" ref="AY11:AY18" si="6">IFERROR(ROUND(IF(OR(D11="",N11=""), "", SUM(AW11:AX11)*U11),4), "")</f>
        <v/>
      </c>
      <c r="AZ11" s="243" t="str">
        <f t="shared" ref="AZ11:AZ18" si="7">IF(M11="","",M11)</f>
        <v/>
      </c>
      <c r="BA11" s="244" t="str">
        <f>IFERROR(ROUND(IF(OR(D11="",AE11="", BB11="No", AY11&lt;0), "", MIN(AZ11,U11*(N11/12000)*$N$25)),2),"")</f>
        <v/>
      </c>
      <c r="BB11" s="245" t="str">
        <f>IF(OR(D11="", F11=""), "", IF(OR(AE11&lt;AC11, AP11&lt;AN11),"No", "Yes"))</f>
        <v/>
      </c>
      <c r="BC11" s="246" t="str">
        <f t="shared" ref="BC11:BC18" si="8">IF(D11="", "", $Q$25)</f>
        <v/>
      </c>
      <c r="BD11" s="245" t="str">
        <f t="shared" ref="BD11:BD18" si="9">IF(D11="", "", $R$25)</f>
        <v/>
      </c>
      <c r="BE11" s="245" t="str">
        <f t="shared" ref="BE11:BE18" si="10">IF(D11="", "",$P$25)</f>
        <v/>
      </c>
      <c r="BF11" s="11"/>
      <c r="BG11" s="11"/>
      <c r="BH11" s="11"/>
      <c r="BI11" s="11"/>
      <c r="BJ11" s="11"/>
      <c r="BK11" s="11"/>
      <c r="BL11" s="11"/>
      <c r="BM11" s="11"/>
      <c r="BN11" s="11"/>
      <c r="BO11" s="11"/>
      <c r="BP11" s="11"/>
      <c r="BQ11" s="11"/>
      <c r="BR11" s="11"/>
      <c r="BS11" s="11"/>
      <c r="BT11" s="11"/>
      <c r="BU11" s="11"/>
      <c r="BV11" s="33"/>
      <c r="BW11" s="33"/>
      <c r="BX11" s="33"/>
      <c r="BY11" s="33"/>
      <c r="BZ11" s="33"/>
      <c r="CA11" s="33"/>
      <c r="CB11" s="33"/>
      <c r="CC11" s="33"/>
      <c r="CD11" s="33"/>
      <c r="CE11" s="33"/>
      <c r="CF11" s="33"/>
      <c r="CG11" s="33"/>
      <c r="CH11" s="33"/>
      <c r="CI11" s="33"/>
    </row>
    <row r="12" spans="1:87" s="120" customFormat="1" ht="19.5" customHeight="1">
      <c r="A12" s="53"/>
      <c r="B12" s="18">
        <v>2</v>
      </c>
      <c r="C12" s="19" t="s">
        <v>597</v>
      </c>
      <c r="D12" s="168"/>
      <c r="E12" s="168"/>
      <c r="F12" s="31"/>
      <c r="G12" s="149" t="str">
        <f>IFERROR(VLOOKUP(F12, 'Lookup Tables'!$B$5:$C$2226, 2, FALSE), "")</f>
        <v/>
      </c>
      <c r="H12" s="168"/>
      <c r="I12" s="168"/>
      <c r="J12" s="400"/>
      <c r="K12" s="32"/>
      <c r="L12" s="32"/>
      <c r="M12" s="218"/>
      <c r="N12" s="380"/>
      <c r="O12" s="380"/>
      <c r="P12" s="380"/>
      <c r="Q12" s="240" t="str">
        <f>IFERROR(VLOOKUP(E12, 'Lookup Tables'!$AC$5:$AL$27, MATCH(G12, 'Lookup Tables'!$AD$5:$AL$5,1)+1, FALSE),"")</f>
        <v/>
      </c>
      <c r="R12" s="302" t="str">
        <f>IFERROR(VLOOKUP(E12, 'Lookup Tables'!$G$5:$P$19, MATCH(G12, 'Lookup Tables'!$H$5:$P$5,1)+1, FALSE),"")</f>
        <v/>
      </c>
      <c r="S12" s="302" t="str">
        <f>IFERROR(VLOOKUP(E12, 'Lookup Tables'!$R$5:$AA$27, MATCH(G12, 'Lookup Tables'!$S$5:$AA$5,1)+1, FALSE),"")</f>
        <v/>
      </c>
      <c r="T12" s="303">
        <f t="shared" si="0"/>
        <v>0</v>
      </c>
      <c r="U12" s="218"/>
      <c r="V12" s="303" cm="1">
        <f t="array" ref="V12">_xlfn.IFS(T12&lt;7,7,AND(T12&gt;=7,T12&lt;=15),T12,T12&gt;15,15)</f>
        <v>7</v>
      </c>
      <c r="W12" s="240" t="str">
        <f t="shared" ref="W12:W18" si="11">IF(OR(D12="",N12=""),"",$F$25+(V12*$F$26))</f>
        <v/>
      </c>
      <c r="X12" s="240" t="str">
        <f t="shared" ref="X12:X18" si="12">IF(OR(D12="",N12=""),"",$G$25+($G$26*V12))</f>
        <v/>
      </c>
      <c r="Y12" s="240" t="str">
        <f t="shared" ref="Y12:Y18" si="13">IF(D12="","",IF(D12="Replacement",W12,X12))</f>
        <v/>
      </c>
      <c r="Z12" s="157" t="str">
        <f t="shared" ref="Z12:Z18" si="14">IF(AND(H12&lt;$C$23,D12="Replacement"),IF(I12="", Y12, I12),Y12)</f>
        <v/>
      </c>
      <c r="AA12" s="240" t="str">
        <f t="shared" ref="AA12:AA18" si="15">IF(OR(D12="",N12=""),"",$J$25+($J$26*V12))</f>
        <v/>
      </c>
      <c r="AB12" s="240" t="str">
        <f t="shared" ref="AB12:AB18" si="16">IF(OR(D12="",N12=""),"",$K$25+($K$26*V12))</f>
        <v/>
      </c>
      <c r="AC12" s="248" t="str">
        <f t="shared" ref="AC12:AC18" si="17">IF(OR(D12="",N12=""),"",ROUND(IF(D12="Replacement",AA12,AB12), 1))</f>
        <v/>
      </c>
      <c r="AD12" s="249" t="str">
        <f t="shared" ref="AD12:AD18" si="18">IF(AC12="", "", "EER")</f>
        <v/>
      </c>
      <c r="AE12" s="241"/>
      <c r="AF12" s="240">
        <f t="shared" ref="AF12:AF18" si="19">O12/1000</f>
        <v>0</v>
      </c>
      <c r="AG12" s="240" cm="1">
        <f t="array" ref="AG12">_xlfn.IFS(AF12&lt;7,7,AND(AF12&gt;=7,AF12&lt;=15),AF12,AF12&gt;15,15)</f>
        <v>7</v>
      </c>
      <c r="AH12" s="240" t="str">
        <f t="shared" ref="AH12:AH18" si="20">IF(OR(D12="",O12=""),"",$H$25+$H$26*AG12)</f>
        <v/>
      </c>
      <c r="AI12" s="240" t="str">
        <f t="shared" ref="AI12:AI18" si="21">IF(OR(D12="",O12=""),"",$I$25+AG12*$I$26)</f>
        <v/>
      </c>
      <c r="AJ12" s="240" t="str">
        <f t="shared" si="1"/>
        <v/>
      </c>
      <c r="AK12" s="240" t="str">
        <f t="shared" si="2"/>
        <v/>
      </c>
      <c r="AL12" s="240" t="str">
        <f t="shared" ref="AL12:AL18" si="22">IF(OR(D12="",O12=""),"",$L$25+$L$26*AG12)</f>
        <v/>
      </c>
      <c r="AM12" s="240" t="str">
        <f t="shared" ref="AM12:AM18" si="23">IF(OR(D12="",O12=""),"",$M$25+$M$26*AG12)</f>
        <v/>
      </c>
      <c r="AN12" s="248" t="str">
        <f t="shared" si="3"/>
        <v/>
      </c>
      <c r="AO12" s="247" t="str">
        <f t="shared" ref="AO12:AO18" si="24">IF(AN12="", "", "COP")</f>
        <v/>
      </c>
      <c r="AP12" s="241"/>
      <c r="AQ12" s="240" t="str">
        <f t="shared" ref="AQ12:AQ18" si="25">IFERROR((N12/1000)*((1/Z12)-(1/AE12))*U12*Q12,"")</f>
        <v/>
      </c>
      <c r="AR12" s="240" t="str">
        <f t="shared" ref="AR12:AR18" si="26">IF(ISNUMBER(AX12),0, "")</f>
        <v/>
      </c>
      <c r="AS12" s="240" t="str">
        <f t="shared" ref="AS12:AS18" si="27">IFERROR((N12/1000)*((1/Z12)-(1/AE12))*U12,"")</f>
        <v/>
      </c>
      <c r="AT12" s="240" t="str">
        <f t="shared" ref="AT12:AT18" si="28">IF(ISNUMBER(AX12),0, "")</f>
        <v/>
      </c>
      <c r="AU12" s="507" t="str">
        <f t="shared" si="4"/>
        <v/>
      </c>
      <c r="AV12" s="508" t="str">
        <f t="shared" si="5"/>
        <v/>
      </c>
      <c r="AW12" s="242" t="str">
        <f t="shared" ref="AW12:AW18" si="29">IFERROR(IF(OR(D12="", F12=""), "", (N12/1000)*((1/Z12)-(1/AE12))*R12), "")</f>
        <v/>
      </c>
      <c r="AX12" s="243" t="str">
        <f t="shared" ref="AX12:AX18" si="30">IFERROR(IF(OR(D12="", F12=""), "", (O12/1000)*((1/AK12)-(1/AP12))*S12*(1/3.412)), "")</f>
        <v/>
      </c>
      <c r="AY12" s="509" t="str">
        <f t="shared" si="6"/>
        <v/>
      </c>
      <c r="AZ12" s="243" t="str">
        <f t="shared" si="7"/>
        <v/>
      </c>
      <c r="BA12" s="244" t="str">
        <f t="shared" ref="BA12:BA18" si="31">IFERROR(ROUND(IF(OR(D12="",AE12="", BB12="No", AY12&lt;0), "", MIN(AZ12,U12*(N12/12000)*$N$25)),2),"")</f>
        <v/>
      </c>
      <c r="BB12" s="245" t="str">
        <f t="shared" ref="BB12:BB18" si="32">IF(OR(D12="", F12=""), "", IF(OR(AE12&lt;AC12, AP12&lt;AN12),"No", "Yes"))</f>
        <v/>
      </c>
      <c r="BC12" s="246" t="str">
        <f t="shared" si="8"/>
        <v/>
      </c>
      <c r="BD12" s="245" t="str">
        <f t="shared" si="9"/>
        <v/>
      </c>
      <c r="BE12" s="245" t="str">
        <f t="shared" si="10"/>
        <v/>
      </c>
      <c r="BF12" s="11"/>
      <c r="BG12" s="11"/>
      <c r="BH12" s="11"/>
      <c r="BI12" s="11"/>
      <c r="BJ12" s="11"/>
      <c r="BK12" s="11"/>
      <c r="BL12" s="11"/>
      <c r="BM12" s="11"/>
      <c r="BN12" s="11"/>
      <c r="BO12" s="11"/>
      <c r="BP12" s="11"/>
      <c r="BQ12" s="11"/>
      <c r="BR12" s="11"/>
      <c r="BS12" s="11"/>
      <c r="BT12" s="11"/>
      <c r="BU12" s="11"/>
      <c r="BV12" s="33"/>
      <c r="BW12" s="33"/>
      <c r="BX12" s="33"/>
      <c r="BY12" s="33"/>
      <c r="BZ12" s="33"/>
      <c r="CA12" s="33"/>
      <c r="CB12" s="33"/>
      <c r="CC12" s="33"/>
      <c r="CD12" s="33"/>
      <c r="CE12" s="33"/>
      <c r="CF12" s="33"/>
      <c r="CG12" s="33"/>
      <c r="CH12" s="33"/>
      <c r="CI12" s="33"/>
    </row>
    <row r="13" spans="1:87" s="120" customFormat="1" ht="19.5" customHeight="1">
      <c r="A13" s="53"/>
      <c r="B13" s="18">
        <v>3</v>
      </c>
      <c r="C13" s="19" t="s">
        <v>597</v>
      </c>
      <c r="D13" s="168"/>
      <c r="E13" s="168"/>
      <c r="F13" s="31"/>
      <c r="G13" s="149" t="str">
        <f>IFERROR(VLOOKUP(F13, 'Lookup Tables'!$B$5:$C$2226, 2, FALSE), "")</f>
        <v/>
      </c>
      <c r="H13" s="168"/>
      <c r="I13" s="168"/>
      <c r="J13" s="400"/>
      <c r="K13" s="32"/>
      <c r="L13" s="32"/>
      <c r="M13" s="218"/>
      <c r="N13" s="380"/>
      <c r="O13" s="380"/>
      <c r="P13" s="380"/>
      <c r="Q13" s="240" t="str">
        <f>IFERROR(VLOOKUP(E13, 'Lookup Tables'!$AC$5:$AL$27, MATCH(G13, 'Lookup Tables'!$AD$5:$AL$5,1)+1, FALSE),"")</f>
        <v/>
      </c>
      <c r="R13" s="302" t="str">
        <f>IFERROR(VLOOKUP(E13, 'Lookup Tables'!$G$5:$P$19, MATCH(G13, 'Lookup Tables'!$H$5:$P$5,1)+1, FALSE),"")</f>
        <v/>
      </c>
      <c r="S13" s="302" t="str">
        <f>IFERROR(VLOOKUP(E13, 'Lookup Tables'!$R$5:$AA$27, MATCH(G13, 'Lookup Tables'!$S$5:$AA$5,1)+1, FALSE),"")</f>
        <v/>
      </c>
      <c r="T13" s="303">
        <f t="shared" si="0"/>
        <v>0</v>
      </c>
      <c r="U13" s="218"/>
      <c r="V13" s="303" cm="1">
        <f t="array" ref="V13">_xlfn.IFS(T13&lt;7,7,AND(T13&gt;=7,T13&lt;=15),T13,T13&gt;15,15)</f>
        <v>7</v>
      </c>
      <c r="W13" s="240" t="str">
        <f t="shared" si="11"/>
        <v/>
      </c>
      <c r="X13" s="240" t="str">
        <f t="shared" si="12"/>
        <v/>
      </c>
      <c r="Y13" s="240" t="str">
        <f t="shared" si="13"/>
        <v/>
      </c>
      <c r="Z13" s="157" t="str">
        <f t="shared" si="14"/>
        <v/>
      </c>
      <c r="AA13" s="240" t="str">
        <f t="shared" si="15"/>
        <v/>
      </c>
      <c r="AB13" s="240" t="str">
        <f t="shared" si="16"/>
        <v/>
      </c>
      <c r="AC13" s="248" t="str">
        <f t="shared" si="17"/>
        <v/>
      </c>
      <c r="AD13" s="249" t="str">
        <f t="shared" si="18"/>
        <v/>
      </c>
      <c r="AE13" s="241"/>
      <c r="AF13" s="240">
        <f t="shared" si="19"/>
        <v>0</v>
      </c>
      <c r="AG13" s="240" cm="1">
        <f t="array" ref="AG13">_xlfn.IFS(AF13&lt;7,7,AND(AF13&gt;=7,AF13&lt;=15),AF13,AF13&gt;15,15)</f>
        <v>7</v>
      </c>
      <c r="AH13" s="240" t="str">
        <f t="shared" si="20"/>
        <v/>
      </c>
      <c r="AI13" s="240" t="str">
        <f t="shared" si="21"/>
        <v/>
      </c>
      <c r="AJ13" s="240" t="str">
        <f t="shared" si="1"/>
        <v/>
      </c>
      <c r="AK13" s="240" t="str">
        <f t="shared" si="2"/>
        <v/>
      </c>
      <c r="AL13" s="240" t="str">
        <f t="shared" si="22"/>
        <v/>
      </c>
      <c r="AM13" s="240" t="str">
        <f t="shared" si="23"/>
        <v/>
      </c>
      <c r="AN13" s="248" t="str">
        <f t="shared" si="3"/>
        <v/>
      </c>
      <c r="AO13" s="247" t="str">
        <f t="shared" si="24"/>
        <v/>
      </c>
      <c r="AP13" s="241"/>
      <c r="AQ13" s="240" t="str">
        <f t="shared" si="25"/>
        <v/>
      </c>
      <c r="AR13" s="240" t="str">
        <f t="shared" si="26"/>
        <v/>
      </c>
      <c r="AS13" s="240" t="str">
        <f t="shared" si="27"/>
        <v/>
      </c>
      <c r="AT13" s="240" t="str">
        <f t="shared" si="28"/>
        <v/>
      </c>
      <c r="AU13" s="507" t="str">
        <f t="shared" si="4"/>
        <v/>
      </c>
      <c r="AV13" s="508" t="str">
        <f t="shared" si="5"/>
        <v/>
      </c>
      <c r="AW13" s="242" t="str">
        <f t="shared" si="29"/>
        <v/>
      </c>
      <c r="AX13" s="243" t="str">
        <f t="shared" si="30"/>
        <v/>
      </c>
      <c r="AY13" s="509" t="str">
        <f t="shared" si="6"/>
        <v/>
      </c>
      <c r="AZ13" s="243" t="str">
        <f t="shared" si="7"/>
        <v/>
      </c>
      <c r="BA13" s="244" t="str">
        <f t="shared" si="31"/>
        <v/>
      </c>
      <c r="BB13" s="245" t="str">
        <f t="shared" si="32"/>
        <v/>
      </c>
      <c r="BC13" s="246" t="str">
        <f t="shared" si="8"/>
        <v/>
      </c>
      <c r="BD13" s="245" t="str">
        <f t="shared" si="9"/>
        <v/>
      </c>
      <c r="BE13" s="245" t="str">
        <f t="shared" si="10"/>
        <v/>
      </c>
      <c r="BF13" s="11"/>
      <c r="BG13" s="11"/>
      <c r="BH13" s="11"/>
      <c r="BI13" s="11"/>
      <c r="BJ13" s="11"/>
      <c r="BK13" s="11"/>
      <c r="BL13" s="11"/>
      <c r="BM13" s="11"/>
      <c r="BN13" s="11"/>
      <c r="BO13" s="11"/>
      <c r="BP13" s="11"/>
      <c r="BQ13" s="11"/>
      <c r="BR13" s="11"/>
      <c r="BS13" s="11"/>
      <c r="BT13" s="11"/>
      <c r="BU13" s="11"/>
      <c r="BV13" s="33"/>
      <c r="BW13" s="33"/>
      <c r="BX13" s="33"/>
      <c r="BY13" s="33"/>
      <c r="BZ13" s="33"/>
      <c r="CA13" s="33"/>
      <c r="CB13" s="33"/>
      <c r="CC13" s="33"/>
      <c r="CD13" s="33"/>
      <c r="CE13" s="33"/>
      <c r="CF13" s="33"/>
      <c r="CG13" s="33"/>
      <c r="CH13" s="33"/>
      <c r="CI13" s="33"/>
    </row>
    <row r="14" spans="1:87" s="120" customFormat="1" ht="19.5" customHeight="1">
      <c r="A14" s="53"/>
      <c r="B14" s="18">
        <v>4</v>
      </c>
      <c r="C14" s="19" t="s">
        <v>597</v>
      </c>
      <c r="D14" s="168"/>
      <c r="E14" s="168"/>
      <c r="F14" s="31"/>
      <c r="G14" s="149" t="str">
        <f>IFERROR(VLOOKUP(F14, 'Lookup Tables'!$B$5:$C$2226, 2, FALSE), "")</f>
        <v/>
      </c>
      <c r="H14" s="168"/>
      <c r="I14" s="168"/>
      <c r="J14" s="400"/>
      <c r="K14" s="32"/>
      <c r="L14" s="32"/>
      <c r="M14" s="218"/>
      <c r="N14" s="380"/>
      <c r="O14" s="380"/>
      <c r="P14" s="380"/>
      <c r="Q14" s="240" t="str">
        <f>IFERROR(VLOOKUP(E14, 'Lookup Tables'!$AC$5:$AL$27, MATCH(G14, 'Lookup Tables'!$AD$5:$AL$5,1)+1, FALSE),"")</f>
        <v/>
      </c>
      <c r="R14" s="302" t="str">
        <f>IFERROR(VLOOKUP(E14, 'Lookup Tables'!$G$5:$P$19, MATCH(G14, 'Lookup Tables'!$H$5:$P$5,1)+1, FALSE),"")</f>
        <v/>
      </c>
      <c r="S14" s="302" t="str">
        <f>IFERROR(VLOOKUP(E14, 'Lookup Tables'!$R$5:$AA$27, MATCH(G14, 'Lookup Tables'!$S$5:$AA$5,1)+1, FALSE),"")</f>
        <v/>
      </c>
      <c r="T14" s="303">
        <f t="shared" si="0"/>
        <v>0</v>
      </c>
      <c r="U14" s="218"/>
      <c r="V14" s="303" cm="1">
        <f t="array" ref="V14">_xlfn.IFS(T14&lt;7,7,AND(T14&gt;=7,T14&lt;=15),T14,T14&gt;15,15)</f>
        <v>7</v>
      </c>
      <c r="W14" s="240" t="str">
        <f t="shared" si="11"/>
        <v/>
      </c>
      <c r="X14" s="240" t="str">
        <f t="shared" si="12"/>
        <v/>
      </c>
      <c r="Y14" s="240" t="str">
        <f t="shared" si="13"/>
        <v/>
      </c>
      <c r="Z14" s="157" t="str">
        <f t="shared" si="14"/>
        <v/>
      </c>
      <c r="AA14" s="240" t="str">
        <f t="shared" si="15"/>
        <v/>
      </c>
      <c r="AB14" s="240" t="str">
        <f t="shared" si="16"/>
        <v/>
      </c>
      <c r="AC14" s="248" t="str">
        <f t="shared" si="17"/>
        <v/>
      </c>
      <c r="AD14" s="249" t="str">
        <f t="shared" si="18"/>
        <v/>
      </c>
      <c r="AE14" s="241"/>
      <c r="AF14" s="240">
        <f t="shared" si="19"/>
        <v>0</v>
      </c>
      <c r="AG14" s="240" cm="1">
        <f t="array" ref="AG14">_xlfn.IFS(AF14&lt;7,7,AND(AF14&gt;=7,AF14&lt;=15),AF14,AF14&gt;15,15)</f>
        <v>7</v>
      </c>
      <c r="AH14" s="240" t="str">
        <f t="shared" si="20"/>
        <v/>
      </c>
      <c r="AI14" s="240" t="str">
        <f t="shared" si="21"/>
        <v/>
      </c>
      <c r="AJ14" s="240" t="str">
        <f t="shared" si="1"/>
        <v/>
      </c>
      <c r="AK14" s="240" t="str">
        <f t="shared" si="2"/>
        <v/>
      </c>
      <c r="AL14" s="240" t="str">
        <f t="shared" si="22"/>
        <v/>
      </c>
      <c r="AM14" s="240" t="str">
        <f t="shared" si="23"/>
        <v/>
      </c>
      <c r="AN14" s="248" t="str">
        <f t="shared" si="3"/>
        <v/>
      </c>
      <c r="AO14" s="247" t="str">
        <f t="shared" si="24"/>
        <v/>
      </c>
      <c r="AP14" s="241"/>
      <c r="AQ14" s="240" t="str">
        <f t="shared" si="25"/>
        <v/>
      </c>
      <c r="AR14" s="240" t="str">
        <f t="shared" si="26"/>
        <v/>
      </c>
      <c r="AS14" s="240" t="str">
        <f t="shared" si="27"/>
        <v/>
      </c>
      <c r="AT14" s="240" t="str">
        <f t="shared" si="28"/>
        <v/>
      </c>
      <c r="AU14" s="507" t="str">
        <f t="shared" si="4"/>
        <v/>
      </c>
      <c r="AV14" s="508" t="str">
        <f t="shared" si="5"/>
        <v/>
      </c>
      <c r="AW14" s="242" t="str">
        <f t="shared" si="29"/>
        <v/>
      </c>
      <c r="AX14" s="243" t="str">
        <f t="shared" si="30"/>
        <v/>
      </c>
      <c r="AY14" s="509" t="str">
        <f t="shared" si="6"/>
        <v/>
      </c>
      <c r="AZ14" s="243" t="str">
        <f t="shared" si="7"/>
        <v/>
      </c>
      <c r="BA14" s="244" t="str">
        <f t="shared" si="31"/>
        <v/>
      </c>
      <c r="BB14" s="245" t="str">
        <f t="shared" si="32"/>
        <v/>
      </c>
      <c r="BC14" s="246" t="str">
        <f t="shared" si="8"/>
        <v/>
      </c>
      <c r="BD14" s="245" t="str">
        <f t="shared" si="9"/>
        <v/>
      </c>
      <c r="BE14" s="245" t="str">
        <f t="shared" si="10"/>
        <v/>
      </c>
      <c r="BF14" s="11"/>
      <c r="BG14" s="11"/>
      <c r="BH14" s="11"/>
      <c r="BI14" s="11"/>
      <c r="BJ14" s="11"/>
      <c r="BK14" s="11"/>
      <c r="BL14" s="11"/>
      <c r="BM14" s="11"/>
      <c r="BN14" s="11"/>
      <c r="BO14" s="11"/>
      <c r="BP14" s="11"/>
      <c r="BQ14" s="11"/>
      <c r="BR14" s="11"/>
      <c r="BS14" s="11"/>
      <c r="BT14" s="11"/>
      <c r="BU14" s="11"/>
      <c r="BV14" s="33"/>
      <c r="BW14" s="33"/>
      <c r="BX14" s="33"/>
      <c r="BY14" s="33"/>
      <c r="BZ14" s="33"/>
      <c r="CA14" s="33"/>
      <c r="CB14" s="33"/>
      <c r="CC14" s="33"/>
      <c r="CD14" s="33"/>
      <c r="CE14" s="33"/>
      <c r="CF14" s="33"/>
      <c r="CG14" s="33"/>
      <c r="CH14" s="33"/>
      <c r="CI14" s="33"/>
    </row>
    <row r="15" spans="1:87" s="120" customFormat="1" ht="19.5" customHeight="1">
      <c r="A15" s="53"/>
      <c r="B15" s="18">
        <v>5</v>
      </c>
      <c r="C15" s="19" t="s">
        <v>597</v>
      </c>
      <c r="D15" s="168"/>
      <c r="E15" s="168"/>
      <c r="F15" s="31"/>
      <c r="G15" s="149" t="str">
        <f>IFERROR(VLOOKUP(F15, 'Lookup Tables'!$B$5:$C$2226, 2, FALSE), "")</f>
        <v/>
      </c>
      <c r="H15" s="168"/>
      <c r="I15" s="168"/>
      <c r="J15" s="400"/>
      <c r="K15" s="32"/>
      <c r="L15" s="32"/>
      <c r="M15" s="218"/>
      <c r="N15" s="380"/>
      <c r="O15" s="380"/>
      <c r="P15" s="380"/>
      <c r="Q15" s="240" t="str">
        <f>IFERROR(VLOOKUP(E15, 'Lookup Tables'!$AC$5:$AL$27, MATCH(G15, 'Lookup Tables'!$AD$5:$AL$5,1)+1, FALSE),"")</f>
        <v/>
      </c>
      <c r="R15" s="302" t="str">
        <f>IFERROR(VLOOKUP(E15, 'Lookup Tables'!$G$5:$P$19, MATCH(G15, 'Lookup Tables'!$H$5:$P$5,1)+1, FALSE),"")</f>
        <v/>
      </c>
      <c r="S15" s="302" t="str">
        <f>IFERROR(VLOOKUP(E15, 'Lookup Tables'!$R$5:$AA$27, MATCH(G15, 'Lookup Tables'!$S$5:$AA$5,1)+1, FALSE),"")</f>
        <v/>
      </c>
      <c r="T15" s="303">
        <f t="shared" si="0"/>
        <v>0</v>
      </c>
      <c r="U15" s="218"/>
      <c r="V15" s="303" cm="1">
        <f t="array" ref="V15">_xlfn.IFS(T15&lt;7,7,AND(T15&gt;=7,T15&lt;=15),T15,T15&gt;15,15)</f>
        <v>7</v>
      </c>
      <c r="W15" s="240" t="str">
        <f t="shared" si="11"/>
        <v/>
      </c>
      <c r="X15" s="240" t="str">
        <f t="shared" si="12"/>
        <v/>
      </c>
      <c r="Y15" s="240" t="str">
        <f t="shared" si="13"/>
        <v/>
      </c>
      <c r="Z15" s="157" t="str">
        <f t="shared" si="14"/>
        <v/>
      </c>
      <c r="AA15" s="240" t="str">
        <f t="shared" si="15"/>
        <v/>
      </c>
      <c r="AB15" s="240" t="str">
        <f t="shared" si="16"/>
        <v/>
      </c>
      <c r="AC15" s="248" t="str">
        <f t="shared" si="17"/>
        <v/>
      </c>
      <c r="AD15" s="249" t="str">
        <f t="shared" si="18"/>
        <v/>
      </c>
      <c r="AE15" s="241"/>
      <c r="AF15" s="240">
        <f t="shared" si="19"/>
        <v>0</v>
      </c>
      <c r="AG15" s="240" cm="1">
        <f t="array" ref="AG15">_xlfn.IFS(AF15&lt;7,7,AND(AF15&gt;=7,AF15&lt;=15),AF15,AF15&gt;15,15)</f>
        <v>7</v>
      </c>
      <c r="AH15" s="240" t="str">
        <f t="shared" si="20"/>
        <v/>
      </c>
      <c r="AI15" s="240" t="str">
        <f t="shared" si="21"/>
        <v/>
      </c>
      <c r="AJ15" s="240" t="str">
        <f t="shared" si="1"/>
        <v/>
      </c>
      <c r="AK15" s="240" t="str">
        <f t="shared" si="2"/>
        <v/>
      </c>
      <c r="AL15" s="240" t="str">
        <f t="shared" si="22"/>
        <v/>
      </c>
      <c r="AM15" s="240" t="str">
        <f t="shared" si="23"/>
        <v/>
      </c>
      <c r="AN15" s="248" t="str">
        <f t="shared" si="3"/>
        <v/>
      </c>
      <c r="AO15" s="247" t="str">
        <f t="shared" si="24"/>
        <v/>
      </c>
      <c r="AP15" s="241"/>
      <c r="AQ15" s="240" t="str">
        <f t="shared" si="25"/>
        <v/>
      </c>
      <c r="AR15" s="240" t="str">
        <f t="shared" si="26"/>
        <v/>
      </c>
      <c r="AS15" s="240" t="str">
        <f t="shared" si="27"/>
        <v/>
      </c>
      <c r="AT15" s="240" t="str">
        <f t="shared" si="28"/>
        <v/>
      </c>
      <c r="AU15" s="507" t="str">
        <f t="shared" si="4"/>
        <v/>
      </c>
      <c r="AV15" s="508" t="str">
        <f t="shared" si="5"/>
        <v/>
      </c>
      <c r="AW15" s="242" t="str">
        <f t="shared" si="29"/>
        <v/>
      </c>
      <c r="AX15" s="243" t="str">
        <f t="shared" si="30"/>
        <v/>
      </c>
      <c r="AY15" s="509" t="str">
        <f t="shared" si="6"/>
        <v/>
      </c>
      <c r="AZ15" s="243" t="str">
        <f t="shared" si="7"/>
        <v/>
      </c>
      <c r="BA15" s="244" t="str">
        <f t="shared" si="31"/>
        <v/>
      </c>
      <c r="BB15" s="245" t="str">
        <f t="shared" si="32"/>
        <v/>
      </c>
      <c r="BC15" s="246" t="str">
        <f t="shared" si="8"/>
        <v/>
      </c>
      <c r="BD15" s="245" t="str">
        <f t="shared" si="9"/>
        <v/>
      </c>
      <c r="BE15" s="245" t="str">
        <f t="shared" si="10"/>
        <v/>
      </c>
      <c r="BF15" s="11"/>
      <c r="BG15" s="11"/>
      <c r="BH15" s="11"/>
      <c r="BI15" s="11"/>
      <c r="BJ15" s="11"/>
      <c r="BK15" s="11"/>
      <c r="BL15" s="11"/>
      <c r="BM15" s="11"/>
      <c r="BN15" s="11"/>
      <c r="BO15" s="11"/>
      <c r="BP15" s="11"/>
      <c r="BQ15" s="11"/>
      <c r="BR15" s="11"/>
      <c r="BS15" s="11"/>
      <c r="BT15" s="11"/>
      <c r="BU15" s="11"/>
      <c r="BV15" s="33"/>
      <c r="BW15" s="33"/>
      <c r="BX15" s="33"/>
      <c r="BY15" s="33"/>
      <c r="BZ15" s="33"/>
      <c r="CA15" s="33"/>
      <c r="CB15" s="33"/>
      <c r="CC15" s="33"/>
      <c r="CD15" s="33"/>
      <c r="CE15" s="33"/>
      <c r="CF15" s="33"/>
      <c r="CG15" s="33"/>
      <c r="CH15" s="33"/>
      <c r="CI15" s="33"/>
    </row>
    <row r="16" spans="1:87" s="120" customFormat="1" ht="19.5" customHeight="1">
      <c r="A16" s="53"/>
      <c r="B16" s="18">
        <v>6</v>
      </c>
      <c r="C16" s="19" t="s">
        <v>597</v>
      </c>
      <c r="D16" s="168"/>
      <c r="E16" s="168"/>
      <c r="F16" s="31"/>
      <c r="G16" s="149" t="str">
        <f>IFERROR(VLOOKUP(F16, 'Lookup Tables'!$B$5:$C$2226, 2, FALSE), "")</f>
        <v/>
      </c>
      <c r="H16" s="168"/>
      <c r="I16" s="168"/>
      <c r="J16" s="400"/>
      <c r="K16" s="32"/>
      <c r="L16" s="32"/>
      <c r="M16" s="218"/>
      <c r="N16" s="380"/>
      <c r="O16" s="380"/>
      <c r="P16" s="380"/>
      <c r="Q16" s="240" t="str">
        <f>IFERROR(VLOOKUP(E16, 'Lookup Tables'!$AC$5:$AL$27, MATCH(G16, 'Lookup Tables'!$AD$5:$AL$5,1)+1, FALSE),"")</f>
        <v/>
      </c>
      <c r="R16" s="302" t="str">
        <f>IFERROR(VLOOKUP(E16, 'Lookup Tables'!$G$5:$P$19, MATCH(G16, 'Lookup Tables'!$H$5:$P$5,1)+1, FALSE),"")</f>
        <v/>
      </c>
      <c r="S16" s="302" t="str">
        <f>IFERROR(VLOOKUP(E16, 'Lookup Tables'!$R$5:$AA$27, MATCH(G16, 'Lookup Tables'!$S$5:$AA$5,1)+1, FALSE),"")</f>
        <v/>
      </c>
      <c r="T16" s="303">
        <f t="shared" si="0"/>
        <v>0</v>
      </c>
      <c r="U16" s="218"/>
      <c r="V16" s="303" cm="1">
        <f t="array" ref="V16">_xlfn.IFS(T16&lt;7,7,AND(T16&gt;=7,T16&lt;=15),T16,T16&gt;15,15)</f>
        <v>7</v>
      </c>
      <c r="W16" s="240" t="str">
        <f t="shared" si="11"/>
        <v/>
      </c>
      <c r="X16" s="240" t="str">
        <f t="shared" si="12"/>
        <v/>
      </c>
      <c r="Y16" s="240" t="str">
        <f t="shared" si="13"/>
        <v/>
      </c>
      <c r="Z16" s="157" t="str">
        <f t="shared" si="14"/>
        <v/>
      </c>
      <c r="AA16" s="240" t="str">
        <f t="shared" si="15"/>
        <v/>
      </c>
      <c r="AB16" s="240" t="str">
        <f t="shared" si="16"/>
        <v/>
      </c>
      <c r="AC16" s="248" t="str">
        <f t="shared" si="17"/>
        <v/>
      </c>
      <c r="AD16" s="249" t="str">
        <f t="shared" si="18"/>
        <v/>
      </c>
      <c r="AE16" s="241"/>
      <c r="AF16" s="240">
        <f t="shared" si="19"/>
        <v>0</v>
      </c>
      <c r="AG16" s="240" cm="1">
        <f t="array" ref="AG16">_xlfn.IFS(AF16&lt;7,7,AND(AF16&gt;=7,AF16&lt;=15),AF16,AF16&gt;15,15)</f>
        <v>7</v>
      </c>
      <c r="AH16" s="240" t="str">
        <f t="shared" si="20"/>
        <v/>
      </c>
      <c r="AI16" s="240" t="str">
        <f t="shared" si="21"/>
        <v/>
      </c>
      <c r="AJ16" s="240" t="str">
        <f t="shared" si="1"/>
        <v/>
      </c>
      <c r="AK16" s="240" t="str">
        <f t="shared" si="2"/>
        <v/>
      </c>
      <c r="AL16" s="240" t="str">
        <f t="shared" si="22"/>
        <v/>
      </c>
      <c r="AM16" s="240" t="str">
        <f t="shared" si="23"/>
        <v/>
      </c>
      <c r="AN16" s="248" t="str">
        <f t="shared" si="3"/>
        <v/>
      </c>
      <c r="AO16" s="247" t="str">
        <f t="shared" si="24"/>
        <v/>
      </c>
      <c r="AP16" s="241"/>
      <c r="AQ16" s="240" t="str">
        <f t="shared" si="25"/>
        <v/>
      </c>
      <c r="AR16" s="240" t="str">
        <f t="shared" si="26"/>
        <v/>
      </c>
      <c r="AS16" s="240" t="str">
        <f t="shared" si="27"/>
        <v/>
      </c>
      <c r="AT16" s="240" t="str">
        <f t="shared" si="28"/>
        <v/>
      </c>
      <c r="AU16" s="507" t="str">
        <f t="shared" si="4"/>
        <v/>
      </c>
      <c r="AV16" s="508" t="str">
        <f t="shared" si="5"/>
        <v/>
      </c>
      <c r="AW16" s="242" t="str">
        <f t="shared" si="29"/>
        <v/>
      </c>
      <c r="AX16" s="243" t="str">
        <f t="shared" si="30"/>
        <v/>
      </c>
      <c r="AY16" s="509" t="str">
        <f t="shared" si="6"/>
        <v/>
      </c>
      <c r="AZ16" s="243" t="str">
        <f t="shared" si="7"/>
        <v/>
      </c>
      <c r="BA16" s="244" t="str">
        <f t="shared" si="31"/>
        <v/>
      </c>
      <c r="BB16" s="245" t="str">
        <f t="shared" si="32"/>
        <v/>
      </c>
      <c r="BC16" s="246" t="str">
        <f t="shared" si="8"/>
        <v/>
      </c>
      <c r="BD16" s="245" t="str">
        <f t="shared" si="9"/>
        <v/>
      </c>
      <c r="BE16" s="245" t="str">
        <f t="shared" si="10"/>
        <v/>
      </c>
      <c r="BF16" s="11"/>
      <c r="BG16" s="11"/>
      <c r="BH16" s="11"/>
      <c r="BI16" s="11"/>
      <c r="BJ16" s="11"/>
      <c r="BK16" s="11"/>
      <c r="BL16" s="11"/>
      <c r="BM16" s="11"/>
      <c r="BN16" s="11"/>
      <c r="BO16" s="11"/>
      <c r="BP16" s="11"/>
      <c r="BQ16" s="11"/>
      <c r="BR16" s="11"/>
      <c r="BS16" s="11"/>
      <c r="BT16" s="11"/>
      <c r="BU16" s="11"/>
      <c r="BV16" s="33"/>
      <c r="BW16" s="33"/>
      <c r="BX16" s="33"/>
      <c r="BY16" s="33"/>
      <c r="BZ16" s="33"/>
      <c r="CA16" s="33"/>
      <c r="CB16" s="33"/>
      <c r="CC16" s="33"/>
      <c r="CD16" s="33"/>
      <c r="CE16" s="33"/>
      <c r="CF16" s="33"/>
      <c r="CG16" s="33"/>
      <c r="CH16" s="33"/>
      <c r="CI16" s="33"/>
    </row>
    <row r="17" spans="1:87" s="120" customFormat="1" ht="19.5" customHeight="1">
      <c r="A17" s="53"/>
      <c r="B17" s="18">
        <v>7</v>
      </c>
      <c r="C17" s="19" t="s">
        <v>597</v>
      </c>
      <c r="D17" s="168"/>
      <c r="E17" s="168"/>
      <c r="F17" s="31"/>
      <c r="G17" s="149" t="str">
        <f>IFERROR(VLOOKUP(F17, 'Lookup Tables'!$B$5:$C$2226, 2, FALSE), "")</f>
        <v/>
      </c>
      <c r="H17" s="168"/>
      <c r="I17" s="168"/>
      <c r="J17" s="400"/>
      <c r="K17" s="32"/>
      <c r="L17" s="32"/>
      <c r="M17" s="218"/>
      <c r="N17" s="380"/>
      <c r="O17" s="380"/>
      <c r="P17" s="380"/>
      <c r="Q17" s="240" t="str">
        <f>IFERROR(VLOOKUP(E17, 'Lookup Tables'!$AC$5:$AL$27, MATCH(G17, 'Lookup Tables'!$AD$5:$AL$5,1)+1, FALSE),"")</f>
        <v/>
      </c>
      <c r="R17" s="302" t="str">
        <f>IFERROR(VLOOKUP(E17, 'Lookup Tables'!$G$5:$P$19, MATCH(G17, 'Lookup Tables'!$H$5:$P$5,1)+1, FALSE),"")</f>
        <v/>
      </c>
      <c r="S17" s="302" t="str">
        <f>IFERROR(VLOOKUP(E17, 'Lookup Tables'!$R$5:$AA$27, MATCH(G17, 'Lookup Tables'!$S$5:$AA$5,1)+1, FALSE),"")</f>
        <v/>
      </c>
      <c r="T17" s="303">
        <f t="shared" si="0"/>
        <v>0</v>
      </c>
      <c r="U17" s="218"/>
      <c r="V17" s="303" cm="1">
        <f t="array" ref="V17">_xlfn.IFS(T17&lt;7,7,AND(T17&gt;=7,T17&lt;=15),T17,T17&gt;15,15)</f>
        <v>7</v>
      </c>
      <c r="W17" s="240" t="str">
        <f t="shared" si="11"/>
        <v/>
      </c>
      <c r="X17" s="240" t="str">
        <f t="shared" si="12"/>
        <v/>
      </c>
      <c r="Y17" s="240" t="str">
        <f t="shared" si="13"/>
        <v/>
      </c>
      <c r="Z17" s="157" t="str">
        <f t="shared" si="14"/>
        <v/>
      </c>
      <c r="AA17" s="240" t="str">
        <f t="shared" si="15"/>
        <v/>
      </c>
      <c r="AB17" s="240" t="str">
        <f t="shared" si="16"/>
        <v/>
      </c>
      <c r="AC17" s="248" t="str">
        <f t="shared" si="17"/>
        <v/>
      </c>
      <c r="AD17" s="249" t="str">
        <f t="shared" si="18"/>
        <v/>
      </c>
      <c r="AE17" s="241"/>
      <c r="AF17" s="240">
        <f t="shared" si="19"/>
        <v>0</v>
      </c>
      <c r="AG17" s="240" cm="1">
        <f t="array" ref="AG17">_xlfn.IFS(AF17&lt;7,7,AND(AF17&gt;=7,AF17&lt;=15),AF17,AF17&gt;15,15)</f>
        <v>7</v>
      </c>
      <c r="AH17" s="240" t="str">
        <f t="shared" si="20"/>
        <v/>
      </c>
      <c r="AI17" s="240" t="str">
        <f t="shared" si="21"/>
        <v/>
      </c>
      <c r="AJ17" s="240" t="str">
        <f t="shared" si="1"/>
        <v/>
      </c>
      <c r="AK17" s="240" t="str">
        <f t="shared" si="2"/>
        <v/>
      </c>
      <c r="AL17" s="240" t="str">
        <f t="shared" si="22"/>
        <v/>
      </c>
      <c r="AM17" s="240" t="str">
        <f t="shared" si="23"/>
        <v/>
      </c>
      <c r="AN17" s="248" t="str">
        <f t="shared" si="3"/>
        <v/>
      </c>
      <c r="AO17" s="247" t="str">
        <f t="shared" si="24"/>
        <v/>
      </c>
      <c r="AP17" s="241"/>
      <c r="AQ17" s="240" t="str">
        <f t="shared" si="25"/>
        <v/>
      </c>
      <c r="AR17" s="240" t="str">
        <f t="shared" si="26"/>
        <v/>
      </c>
      <c r="AS17" s="240" t="str">
        <f t="shared" si="27"/>
        <v/>
      </c>
      <c r="AT17" s="240" t="str">
        <f t="shared" si="28"/>
        <v/>
      </c>
      <c r="AU17" s="507" t="str">
        <f t="shared" si="4"/>
        <v/>
      </c>
      <c r="AV17" s="508" t="str">
        <f t="shared" si="5"/>
        <v/>
      </c>
      <c r="AW17" s="242" t="str">
        <f t="shared" si="29"/>
        <v/>
      </c>
      <c r="AX17" s="243" t="str">
        <f t="shared" si="30"/>
        <v/>
      </c>
      <c r="AY17" s="509" t="str">
        <f t="shared" si="6"/>
        <v/>
      </c>
      <c r="AZ17" s="243" t="str">
        <f t="shared" si="7"/>
        <v/>
      </c>
      <c r="BA17" s="244" t="str">
        <f t="shared" si="31"/>
        <v/>
      </c>
      <c r="BB17" s="245" t="str">
        <f t="shared" si="32"/>
        <v/>
      </c>
      <c r="BC17" s="246" t="str">
        <f t="shared" si="8"/>
        <v/>
      </c>
      <c r="BD17" s="245" t="str">
        <f t="shared" si="9"/>
        <v/>
      </c>
      <c r="BE17" s="245" t="str">
        <f t="shared" si="10"/>
        <v/>
      </c>
      <c r="BF17" s="11"/>
      <c r="BG17" s="11"/>
      <c r="BH17" s="11"/>
      <c r="BI17" s="11"/>
      <c r="BJ17" s="11"/>
      <c r="BK17" s="11"/>
      <c r="BL17" s="11"/>
      <c r="BM17" s="11"/>
      <c r="BN17" s="11"/>
      <c r="BO17" s="11"/>
      <c r="BP17" s="11"/>
      <c r="BQ17" s="11"/>
      <c r="BR17" s="11"/>
      <c r="BS17" s="11"/>
      <c r="BT17" s="11"/>
      <c r="BU17" s="11"/>
      <c r="BV17" s="33"/>
      <c r="BW17" s="33"/>
      <c r="BX17" s="33"/>
      <c r="BY17" s="33"/>
      <c r="BZ17" s="33"/>
      <c r="CA17" s="33"/>
      <c r="CB17" s="33"/>
      <c r="CC17" s="33"/>
      <c r="CD17" s="33"/>
      <c r="CE17" s="33"/>
      <c r="CF17" s="33"/>
      <c r="CG17" s="33"/>
      <c r="CH17" s="33"/>
      <c r="CI17" s="33"/>
    </row>
    <row r="18" spans="1:87" s="120" customFormat="1" ht="18.75" customHeight="1">
      <c r="A18" s="53"/>
      <c r="B18" s="18">
        <v>8</v>
      </c>
      <c r="C18" s="19" t="s">
        <v>597</v>
      </c>
      <c r="D18" s="168"/>
      <c r="E18" s="168"/>
      <c r="F18" s="31"/>
      <c r="G18" s="149" t="str">
        <f>IFERROR(VLOOKUP(F18, 'Lookup Tables'!$B$5:$C$2226, 2, FALSE), "")</f>
        <v/>
      </c>
      <c r="H18" s="168"/>
      <c r="I18" s="168"/>
      <c r="J18" s="400"/>
      <c r="K18" s="32"/>
      <c r="L18" s="32"/>
      <c r="M18" s="218"/>
      <c r="N18" s="380"/>
      <c r="O18" s="380"/>
      <c r="P18" s="380"/>
      <c r="Q18" s="240" t="str">
        <f>IFERROR(VLOOKUP(E18, 'Lookup Tables'!$AC$5:$AL$27, MATCH(G18, 'Lookup Tables'!$AD$5:$AL$5,1)+1, FALSE),"")</f>
        <v/>
      </c>
      <c r="R18" s="302" t="str">
        <f>IFERROR(VLOOKUP(E18, 'Lookup Tables'!$G$5:$P$19, MATCH(G18, 'Lookup Tables'!$H$5:$P$5,1)+1, FALSE),"")</f>
        <v/>
      </c>
      <c r="S18" s="302" t="str">
        <f>IFERROR(VLOOKUP(E18, 'Lookup Tables'!$R$5:$AA$27, MATCH(G18, 'Lookup Tables'!$S$5:$AA$5,1)+1, FALSE),"")</f>
        <v/>
      </c>
      <c r="T18" s="303">
        <f t="shared" si="0"/>
        <v>0</v>
      </c>
      <c r="U18" s="218"/>
      <c r="V18" s="303" cm="1">
        <f t="array" ref="V18">_xlfn.IFS(T18&lt;7,7,AND(T18&gt;=7,T18&lt;=15),T18,T18&gt;15,15)</f>
        <v>7</v>
      </c>
      <c r="W18" s="240" t="str">
        <f t="shared" si="11"/>
        <v/>
      </c>
      <c r="X18" s="240" t="str">
        <f t="shared" si="12"/>
        <v/>
      </c>
      <c r="Y18" s="240" t="str">
        <f t="shared" si="13"/>
        <v/>
      </c>
      <c r="Z18" s="157" t="str">
        <f t="shared" si="14"/>
        <v/>
      </c>
      <c r="AA18" s="240" t="str">
        <f t="shared" si="15"/>
        <v/>
      </c>
      <c r="AB18" s="240" t="str">
        <f t="shared" si="16"/>
        <v/>
      </c>
      <c r="AC18" s="248" t="str">
        <f t="shared" si="17"/>
        <v/>
      </c>
      <c r="AD18" s="249" t="str">
        <f t="shared" si="18"/>
        <v/>
      </c>
      <c r="AE18" s="241"/>
      <c r="AF18" s="240">
        <f t="shared" si="19"/>
        <v>0</v>
      </c>
      <c r="AG18" s="240" cm="1">
        <f t="array" ref="AG18">_xlfn.IFS(AF18&lt;7,7,AND(AF18&gt;=7,AF18&lt;=15),AF18,AF18&gt;15,15)</f>
        <v>7</v>
      </c>
      <c r="AH18" s="240" t="str">
        <f t="shared" si="20"/>
        <v/>
      </c>
      <c r="AI18" s="240" t="str">
        <f t="shared" si="21"/>
        <v/>
      </c>
      <c r="AJ18" s="240" t="str">
        <f t="shared" si="1"/>
        <v/>
      </c>
      <c r="AK18" s="240" t="str">
        <f t="shared" si="2"/>
        <v/>
      </c>
      <c r="AL18" s="240" t="str">
        <f t="shared" si="22"/>
        <v/>
      </c>
      <c r="AM18" s="240" t="str">
        <f t="shared" si="23"/>
        <v/>
      </c>
      <c r="AN18" s="248" t="str">
        <f t="shared" si="3"/>
        <v/>
      </c>
      <c r="AO18" s="247" t="str">
        <f t="shared" si="24"/>
        <v/>
      </c>
      <c r="AP18" s="241"/>
      <c r="AQ18" s="240" t="str">
        <f t="shared" si="25"/>
        <v/>
      </c>
      <c r="AR18" s="240" t="str">
        <f t="shared" si="26"/>
        <v/>
      </c>
      <c r="AS18" s="240" t="str">
        <f t="shared" si="27"/>
        <v/>
      </c>
      <c r="AT18" s="240" t="str">
        <f t="shared" si="28"/>
        <v/>
      </c>
      <c r="AU18" s="507" t="str">
        <f t="shared" si="4"/>
        <v/>
      </c>
      <c r="AV18" s="508" t="str">
        <f t="shared" si="5"/>
        <v/>
      </c>
      <c r="AW18" s="242" t="str">
        <f t="shared" si="29"/>
        <v/>
      </c>
      <c r="AX18" s="243" t="str">
        <f t="shared" si="30"/>
        <v/>
      </c>
      <c r="AY18" s="509" t="str">
        <f t="shared" si="6"/>
        <v/>
      </c>
      <c r="AZ18" s="243" t="str">
        <f t="shared" si="7"/>
        <v/>
      </c>
      <c r="BA18" s="244" t="str">
        <f t="shared" si="31"/>
        <v/>
      </c>
      <c r="BB18" s="245" t="str">
        <f t="shared" si="32"/>
        <v/>
      </c>
      <c r="BC18" s="246" t="str">
        <f t="shared" si="8"/>
        <v/>
      </c>
      <c r="BD18" s="245" t="str">
        <f t="shared" si="9"/>
        <v/>
      </c>
      <c r="BE18" s="245" t="str">
        <f t="shared" si="10"/>
        <v/>
      </c>
      <c r="BF18" s="11"/>
      <c r="BG18" s="11"/>
      <c r="BH18" s="11"/>
      <c r="BI18" s="11"/>
      <c r="BJ18" s="11"/>
      <c r="BK18" s="11"/>
      <c r="BL18" s="11"/>
      <c r="BM18" s="11"/>
      <c r="BN18" s="11"/>
      <c r="BO18" s="11"/>
      <c r="BP18" s="11"/>
      <c r="BQ18" s="11"/>
      <c r="BR18" s="11"/>
      <c r="BS18" s="11"/>
      <c r="BT18" s="11"/>
      <c r="BU18" s="11"/>
      <c r="BV18" s="33"/>
      <c r="BW18" s="33"/>
      <c r="BX18" s="33"/>
      <c r="BY18" s="33"/>
      <c r="BZ18" s="33"/>
      <c r="CA18" s="33"/>
      <c r="CB18" s="33"/>
      <c r="CC18" s="33"/>
      <c r="CD18" s="33"/>
      <c r="CE18" s="33"/>
      <c r="CF18" s="33"/>
      <c r="CG18" s="33"/>
      <c r="CH18" s="33"/>
      <c r="CI18" s="33"/>
    </row>
    <row r="19" spans="1:87">
      <c r="A19" s="11"/>
      <c r="B19" s="190"/>
      <c r="C19" s="190"/>
      <c r="D19" s="190"/>
      <c r="E19" s="190"/>
      <c r="F19" s="190"/>
      <c r="G19" s="190"/>
      <c r="H19" s="190"/>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1"/>
      <c r="BG19" s="11"/>
      <c r="BH19" s="11"/>
      <c r="BI19" s="11"/>
      <c r="BJ19" s="11"/>
      <c r="BK19" s="11"/>
      <c r="BL19" s="11"/>
      <c r="BM19" s="11"/>
      <c r="BN19" s="11"/>
      <c r="BO19" s="11"/>
      <c r="BP19" s="11"/>
      <c r="BQ19" s="11"/>
      <c r="BR19" s="11"/>
      <c r="BS19" s="11"/>
      <c r="BT19" s="11"/>
      <c r="BU19" s="11"/>
      <c r="BV19" s="33"/>
      <c r="BW19" s="33"/>
      <c r="BX19" s="33"/>
      <c r="BY19" s="33"/>
      <c r="BZ19" s="33"/>
      <c r="CA19" s="33"/>
      <c r="CB19" s="33"/>
      <c r="CC19" s="33"/>
      <c r="CD19" s="33"/>
      <c r="CE19" s="33"/>
      <c r="CF19" s="33"/>
      <c r="CG19" s="33"/>
      <c r="CH19" s="33"/>
      <c r="CI19" s="33"/>
    </row>
    <row r="20" spans="1:87" hidden="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33"/>
      <c r="BW20" s="33"/>
      <c r="BX20" s="33"/>
      <c r="BY20" s="33"/>
      <c r="BZ20" s="33"/>
      <c r="CA20" s="33"/>
      <c r="CB20" s="33"/>
      <c r="CC20" s="33"/>
      <c r="CD20" s="33"/>
      <c r="CE20" s="33"/>
      <c r="CF20" s="33"/>
      <c r="CG20" s="33"/>
      <c r="CH20" s="33"/>
      <c r="CI20" s="33"/>
    </row>
    <row r="21" spans="1:87" s="11" customFormat="1" hidden="1">
      <c r="A21" s="147"/>
      <c r="C21" s="33"/>
      <c r="BV21" s="33"/>
      <c r="BW21" s="33"/>
      <c r="BX21" s="33"/>
      <c r="BY21" s="33"/>
      <c r="BZ21" s="33"/>
      <c r="CA21" s="33"/>
      <c r="CB21" s="33"/>
      <c r="CC21" s="33"/>
      <c r="CD21" s="33"/>
      <c r="CE21" s="33"/>
      <c r="CF21" s="33"/>
      <c r="CG21" s="33"/>
      <c r="CH21" s="33"/>
      <c r="CI21" s="33"/>
    </row>
    <row r="22" spans="1:87" s="11" customFormat="1" hidden="1">
      <c r="A22" s="147"/>
      <c r="C22" s="464" t="s">
        <v>168</v>
      </c>
      <c r="E22" s="788" t="s">
        <v>557</v>
      </c>
      <c r="F22" s="788"/>
      <c r="G22" s="788"/>
      <c r="H22" s="788"/>
      <c r="I22" s="788"/>
      <c r="J22" s="788" t="s">
        <v>558</v>
      </c>
      <c r="K22" s="788"/>
      <c r="L22" s="788"/>
      <c r="M22" s="788"/>
      <c r="N22" s="788"/>
      <c r="BV22" s="33"/>
      <c r="BW22" s="33"/>
      <c r="BX22" s="33"/>
      <c r="BY22" s="33"/>
      <c r="BZ22" s="33"/>
      <c r="CA22" s="33"/>
      <c r="CB22" s="33"/>
      <c r="CC22" s="33"/>
      <c r="CD22" s="33"/>
      <c r="CE22" s="33"/>
      <c r="CF22" s="33"/>
      <c r="CG22" s="33"/>
      <c r="CH22" s="33"/>
      <c r="CI22" s="33"/>
    </row>
    <row r="23" spans="1:87" s="11" customFormat="1" hidden="1">
      <c r="A23" s="147"/>
      <c r="C23" s="56">
        <v>15</v>
      </c>
      <c r="E23" s="135" t="s">
        <v>104</v>
      </c>
      <c r="F23" s="135" t="s">
        <v>559</v>
      </c>
      <c r="G23" s="135" t="s">
        <v>560</v>
      </c>
      <c r="H23" s="135" t="s">
        <v>598</v>
      </c>
      <c r="I23" s="135" t="s">
        <v>599</v>
      </c>
      <c r="J23" s="135" t="s">
        <v>559</v>
      </c>
      <c r="K23" s="135" t="s">
        <v>560</v>
      </c>
      <c r="L23" s="135" t="s">
        <v>598</v>
      </c>
      <c r="M23" s="135" t="s">
        <v>599</v>
      </c>
      <c r="N23" s="135" t="s">
        <v>45</v>
      </c>
      <c r="O23" s="135" t="s">
        <v>256</v>
      </c>
      <c r="P23" s="466" t="s">
        <v>134</v>
      </c>
      <c r="Q23" s="466" t="s">
        <v>132</v>
      </c>
      <c r="R23" s="466" t="s">
        <v>143</v>
      </c>
      <c r="BV23" s="33"/>
      <c r="BW23" s="33"/>
      <c r="BX23" s="33"/>
      <c r="BY23" s="33"/>
      <c r="BZ23" s="33"/>
      <c r="CA23" s="33"/>
      <c r="CB23" s="33"/>
      <c r="CC23" s="33"/>
      <c r="CD23" s="33"/>
      <c r="CE23" s="33"/>
      <c r="CF23" s="33"/>
      <c r="CG23" s="33"/>
      <c r="CH23" s="33"/>
      <c r="CI23" s="33"/>
    </row>
    <row r="24" spans="1:87" s="11" customFormat="1" hidden="1">
      <c r="A24" s="147"/>
      <c r="C24" s="33"/>
      <c r="E24" s="121" t="s">
        <v>600</v>
      </c>
      <c r="F24" s="56" t="s">
        <v>601</v>
      </c>
      <c r="G24" s="56" t="s">
        <v>563</v>
      </c>
      <c r="H24" s="56" t="s">
        <v>602</v>
      </c>
      <c r="I24" s="633" t="s">
        <v>1028</v>
      </c>
      <c r="J24" s="56" t="s">
        <v>603</v>
      </c>
      <c r="K24" s="56" t="s">
        <v>565</v>
      </c>
      <c r="L24" s="56" t="s">
        <v>604</v>
      </c>
      <c r="M24" s="633" t="s">
        <v>1029</v>
      </c>
      <c r="N24" s="381"/>
      <c r="O24" s="21"/>
      <c r="P24" s="382"/>
      <c r="Q24" s="382"/>
      <c r="R24" s="382"/>
      <c r="BV24" s="33"/>
      <c r="BW24" s="33"/>
      <c r="BX24" s="33"/>
      <c r="BY24" s="33"/>
      <c r="BZ24" s="33"/>
      <c r="CA24" s="33"/>
      <c r="CB24" s="33"/>
      <c r="CC24" s="33"/>
      <c r="CD24" s="33"/>
      <c r="CE24" s="33"/>
      <c r="CF24" s="33"/>
      <c r="CG24" s="33"/>
      <c r="CH24" s="33"/>
      <c r="CI24" s="33"/>
    </row>
    <row r="25" spans="1:87" s="11" customFormat="1" hidden="1">
      <c r="A25" s="147"/>
      <c r="C25" s="464" t="s">
        <v>566</v>
      </c>
      <c r="E25" s="121" t="s">
        <v>605</v>
      </c>
      <c r="F25" s="56">
        <v>10.8</v>
      </c>
      <c r="G25" s="56">
        <v>14</v>
      </c>
      <c r="H25" s="56">
        <v>2.9</v>
      </c>
      <c r="I25" s="633">
        <v>3.2</v>
      </c>
      <c r="J25" s="56">
        <f t="shared" ref="J25:L26" si="33">F25*1.075</f>
        <v>11.61</v>
      </c>
      <c r="K25" s="56">
        <f t="shared" si="33"/>
        <v>15.049999999999999</v>
      </c>
      <c r="L25" s="56">
        <f t="shared" si="33"/>
        <v>3.1174999999999997</v>
      </c>
      <c r="M25" s="635">
        <f>(I25*0.075)+I25</f>
        <v>3.4400000000000004</v>
      </c>
      <c r="N25" s="3">
        <v>100</v>
      </c>
      <c r="O25" s="56" t="s">
        <v>568</v>
      </c>
      <c r="P25" s="388" t="s">
        <v>606</v>
      </c>
      <c r="Q25" s="23" t="s">
        <v>597</v>
      </c>
      <c r="R25" s="23" t="s">
        <v>57</v>
      </c>
      <c r="BV25" s="33"/>
      <c r="BW25" s="33"/>
      <c r="BX25" s="33"/>
      <c r="BY25" s="33"/>
      <c r="BZ25" s="33"/>
      <c r="CA25" s="33"/>
      <c r="CB25" s="33"/>
      <c r="CC25" s="33"/>
      <c r="CD25" s="33"/>
      <c r="CE25" s="33"/>
      <c r="CF25" s="33"/>
      <c r="CG25" s="33"/>
      <c r="CH25" s="33"/>
      <c r="CI25" s="33"/>
    </row>
    <row r="26" spans="1:87" s="11" customFormat="1" hidden="1">
      <c r="A26" s="147"/>
      <c r="C26" s="56" t="s">
        <v>382</v>
      </c>
      <c r="D26" s="52"/>
      <c r="E26" s="121" t="s">
        <v>607</v>
      </c>
      <c r="F26" s="56">
        <v>-0.21299999999999999</v>
      </c>
      <c r="G26" s="56">
        <v>-0.3</v>
      </c>
      <c r="H26" s="56">
        <v>-2.5999999999999999E-2</v>
      </c>
      <c r="I26" s="633">
        <v>-2.5999999999999999E-2</v>
      </c>
      <c r="J26" s="56">
        <f t="shared" si="33"/>
        <v>-0.22897499999999998</v>
      </c>
      <c r="K26" s="56">
        <f t="shared" si="33"/>
        <v>-0.32249999999999995</v>
      </c>
      <c r="L26" s="56">
        <f t="shared" si="33"/>
        <v>-2.7949999999999999E-2</v>
      </c>
      <c r="M26" s="634">
        <f>(I26*0.075)+I26</f>
        <v>-2.7949999999999999E-2</v>
      </c>
      <c r="N26" s="381"/>
      <c r="O26" s="21"/>
      <c r="P26" s="382"/>
      <c r="Q26" s="382"/>
      <c r="R26" s="382"/>
      <c r="BV26" s="33"/>
      <c r="BW26" s="33"/>
      <c r="BX26" s="33"/>
      <c r="BY26" s="33"/>
      <c r="BZ26" s="33"/>
      <c r="CA26" s="33"/>
      <c r="CB26" s="33"/>
      <c r="CC26" s="33"/>
      <c r="CD26" s="33"/>
      <c r="CE26" s="33"/>
      <c r="CF26" s="33"/>
      <c r="CG26" s="33"/>
      <c r="CH26" s="33"/>
      <c r="CI26" s="33"/>
    </row>
    <row r="27" spans="1:87" s="11" customFormat="1" hidden="1">
      <c r="A27" s="147"/>
      <c r="C27" s="22" t="s">
        <v>238</v>
      </c>
      <c r="D27" s="33"/>
      <c r="E27" s="33"/>
      <c r="F27" s="33"/>
      <c r="I27" s="557"/>
      <c r="M27" s="557"/>
      <c r="BV27" s="33"/>
      <c r="BW27" s="33"/>
      <c r="BX27" s="33"/>
      <c r="BY27" s="33"/>
      <c r="BZ27" s="33"/>
      <c r="CA27" s="33"/>
      <c r="CB27" s="33"/>
      <c r="CC27" s="33"/>
      <c r="CD27" s="33"/>
      <c r="CE27" s="33"/>
      <c r="CF27" s="33"/>
      <c r="CG27" s="33"/>
      <c r="CH27" s="33"/>
      <c r="CI27" s="33"/>
    </row>
    <row r="28" spans="1:87" ht="15" hidden="1" customHeight="1">
      <c r="A28" s="147"/>
      <c r="B28" s="11"/>
      <c r="C28" s="33"/>
      <c r="D28" s="33"/>
      <c r="E28" s="33"/>
      <c r="F28" s="789"/>
      <c r="G28" s="789"/>
      <c r="H28" s="789"/>
      <c r="I28" s="33"/>
      <c r="J28" s="33"/>
      <c r="K28" s="33"/>
      <c r="L28" s="33"/>
      <c r="M28" s="33"/>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33"/>
      <c r="BW28" s="33"/>
      <c r="BX28" s="33"/>
      <c r="BY28" s="33"/>
      <c r="BZ28" s="33"/>
      <c r="CA28" s="33"/>
      <c r="CB28" s="33"/>
      <c r="CC28" s="33"/>
      <c r="CD28" s="33"/>
      <c r="CE28" s="33"/>
      <c r="CF28" s="33"/>
      <c r="CG28" s="33"/>
      <c r="CH28" s="33"/>
      <c r="CI28" s="33"/>
    </row>
    <row r="29" spans="1:87" hidden="1">
      <c r="A29" s="33"/>
      <c r="B29" s="33"/>
      <c r="C29" s="782"/>
      <c r="D29" s="782"/>
      <c r="E29" s="782"/>
      <c r="F29" s="33"/>
      <c r="G29" s="33"/>
      <c r="H29" s="33"/>
      <c r="I29" s="33"/>
      <c r="J29" s="33"/>
      <c r="K29" s="33"/>
      <c r="L29" s="33"/>
      <c r="M29" s="33"/>
      <c r="N29" s="33"/>
      <c r="O29" s="33"/>
      <c r="P29" s="33"/>
      <c r="Q29" s="33"/>
      <c r="R29" s="33"/>
      <c r="S29" s="33"/>
      <c r="T29" s="33"/>
      <c r="U29" s="33"/>
      <c r="V29" s="33"/>
      <c r="W29" s="33"/>
      <c r="X29" s="1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11"/>
      <c r="BG29" s="11"/>
      <c r="BH29" s="11"/>
      <c r="BI29" s="11"/>
      <c r="BJ29" s="11"/>
      <c r="BK29" s="11"/>
      <c r="BL29" s="11"/>
      <c r="BM29" s="11"/>
      <c r="BN29" s="11"/>
      <c r="BO29" s="11"/>
      <c r="BP29" s="11"/>
      <c r="BQ29" s="11"/>
      <c r="BR29" s="11"/>
      <c r="BS29" s="11"/>
      <c r="BT29" s="11"/>
      <c r="BU29" s="11"/>
      <c r="BV29" s="33"/>
      <c r="BW29" s="33"/>
      <c r="BX29" s="33"/>
      <c r="BY29" s="33"/>
      <c r="BZ29" s="33"/>
      <c r="CA29" s="33"/>
      <c r="CB29" s="33"/>
      <c r="CC29" s="33"/>
      <c r="CD29" s="33"/>
      <c r="CE29" s="33"/>
      <c r="CF29" s="33"/>
      <c r="CG29" s="33"/>
      <c r="CH29" s="33"/>
      <c r="CI29" s="33"/>
    </row>
    <row r="30" spans="1:87" hidden="1">
      <c r="A30" s="33"/>
      <c r="B30" s="33"/>
      <c r="C30" s="33"/>
      <c r="D30" s="33"/>
      <c r="E30" s="33"/>
      <c r="F30" s="33"/>
      <c r="G30" s="33"/>
      <c r="H30" s="33"/>
      <c r="I30" s="33"/>
      <c r="J30" s="33"/>
      <c r="K30" s="33"/>
      <c r="L30" s="33"/>
      <c r="M30" s="33"/>
      <c r="N30" s="33"/>
      <c r="O30" s="33"/>
      <c r="P30" s="33"/>
      <c r="Q30" s="33"/>
      <c r="R30" s="33"/>
      <c r="S30" s="33"/>
      <c r="T30" s="33"/>
      <c r="U30" s="33"/>
      <c r="V30" s="33"/>
      <c r="W30" s="33"/>
      <c r="X30" s="1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row>
    <row r="31" spans="1:87" hidden="1">
      <c r="A31" s="33"/>
      <c r="B31" s="33"/>
      <c r="C31" s="33"/>
      <c r="D31" s="33"/>
      <c r="E31" s="33"/>
      <c r="F31" s="33"/>
      <c r="G31" s="33"/>
      <c r="H31" s="33"/>
      <c r="I31" s="33"/>
      <c r="J31" s="33"/>
      <c r="K31" s="33"/>
      <c r="L31" s="33"/>
      <c r="M31" s="33"/>
      <c r="N31" s="33"/>
      <c r="O31" s="33"/>
      <c r="P31" s="33"/>
      <c r="Q31" s="33"/>
      <c r="R31" s="33"/>
      <c r="S31" s="33"/>
      <c r="T31" s="33"/>
      <c r="U31" s="33"/>
      <c r="V31" s="33"/>
      <c r="W31" s="33"/>
      <c r="X31" s="1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row>
    <row r="32" spans="1:87" hidden="1">
      <c r="A32" s="33"/>
      <c r="B32" s="33"/>
      <c r="C32" s="33"/>
      <c r="D32" s="33"/>
      <c r="E32" s="33"/>
      <c r="F32" s="33"/>
      <c r="G32" s="33"/>
      <c r="H32" s="33"/>
      <c r="I32" s="33"/>
      <c r="J32" s="33"/>
      <c r="K32" s="33"/>
      <c r="L32" s="33"/>
      <c r="M32" s="33"/>
      <c r="N32" s="33"/>
      <c r="O32" s="33"/>
      <c r="P32" s="33"/>
      <c r="Q32" s="33"/>
      <c r="R32" s="33"/>
      <c r="S32" s="33"/>
      <c r="T32" s="33"/>
      <c r="U32" s="33"/>
      <c r="V32" s="33"/>
      <c r="W32" s="33"/>
      <c r="X32" s="1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row>
    <row r="33" spans="1:87" hidden="1">
      <c r="A33" s="33"/>
      <c r="B33" s="33"/>
      <c r="C33" s="33"/>
      <c r="D33" s="33"/>
      <c r="E33" s="33"/>
      <c r="F33" s="33"/>
      <c r="G33" s="33"/>
      <c r="H33" s="33"/>
      <c r="I33" s="33"/>
      <c r="J33" s="33"/>
      <c r="K33" s="33"/>
      <c r="L33" s="33"/>
      <c r="M33" s="33"/>
      <c r="N33" s="33"/>
      <c r="O33" s="33"/>
      <c r="P33" s="33"/>
      <c r="Q33" s="33"/>
      <c r="R33" s="33"/>
      <c r="S33" s="33"/>
      <c r="T33" s="33"/>
      <c r="U33" s="33"/>
      <c r="V33" s="33"/>
      <c r="W33" s="33"/>
      <c r="X33" s="1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row>
    <row r="34" spans="1:87" hidden="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row>
    <row r="35" spans="1:87" hidden="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row>
    <row r="36" spans="1:87" hidden="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row>
    <row r="37" spans="1:87" hidden="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row>
    <row r="38" spans="1:87" hidden="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row>
    <row r="39" spans="1:87">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row>
    <row r="40" spans="1:87">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row>
    <row r="41" spans="1:87">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row>
    <row r="42" spans="1:87">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row>
    <row r="43" spans="1:87">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row>
    <row r="44" spans="1:87">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row>
    <row r="45" spans="1:87">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row>
    <row r="46" spans="1:87">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row>
    <row r="47" spans="1:87">
      <c r="A47" s="33"/>
      <c r="B47" s="33"/>
      <c r="C47" s="328"/>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row>
    <row r="48" spans="1:87">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row>
    <row r="49" spans="1:87">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row>
    <row r="50" spans="1:87">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row>
    <row r="51" spans="1:87">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row>
    <row r="52" spans="1:87">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row>
    <row r="53" spans="1:87">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row>
    <row r="54" spans="1:87">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row>
    <row r="55" spans="1:87">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row>
    <row r="56" spans="1:87">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row>
    <row r="57" spans="1:87">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row>
    <row r="58" spans="1:87">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row>
    <row r="59" spans="1:87">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row>
    <row r="60" spans="1:87">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row>
    <row r="61" spans="1:87">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c r="BY61" s="33"/>
      <c r="BZ61" s="33"/>
      <c r="CA61" s="33"/>
      <c r="CB61" s="33"/>
      <c r="CC61" s="33"/>
      <c r="CD61" s="33"/>
      <c r="CE61" s="33"/>
      <c r="CF61" s="33"/>
      <c r="CG61" s="33"/>
      <c r="CH61" s="33"/>
      <c r="CI61" s="33"/>
    </row>
    <row r="62" spans="1:87">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c r="BY62" s="33"/>
      <c r="BZ62" s="33"/>
      <c r="CA62" s="33"/>
      <c r="CB62" s="33"/>
      <c r="CC62" s="33"/>
      <c r="CD62" s="33"/>
      <c r="CE62" s="33"/>
      <c r="CF62" s="33"/>
      <c r="CG62" s="33"/>
      <c r="CH62" s="33"/>
      <c r="CI62" s="33"/>
    </row>
    <row r="63" spans="1:87">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c r="BY63" s="33"/>
      <c r="BZ63" s="33"/>
      <c r="CA63" s="33"/>
      <c r="CB63" s="33"/>
      <c r="CC63" s="33"/>
      <c r="CD63" s="33"/>
      <c r="CE63" s="33"/>
      <c r="CF63" s="33"/>
      <c r="CG63" s="33"/>
      <c r="CH63" s="33"/>
      <c r="CI63" s="33"/>
    </row>
    <row r="64" spans="1:87">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c r="BY64" s="33"/>
      <c r="BZ64" s="33"/>
      <c r="CA64" s="33"/>
      <c r="CB64" s="33"/>
      <c r="CC64" s="33"/>
      <c r="CD64" s="33"/>
      <c r="CE64" s="33"/>
      <c r="CF64" s="33"/>
      <c r="CG64" s="33"/>
      <c r="CH64" s="33"/>
      <c r="CI64" s="33"/>
    </row>
    <row r="65" spans="1:87">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c r="BY65" s="33"/>
      <c r="BZ65" s="33"/>
      <c r="CA65" s="33"/>
      <c r="CB65" s="33"/>
      <c r="CC65" s="33"/>
      <c r="CD65" s="33"/>
      <c r="CE65" s="33"/>
      <c r="CF65" s="33"/>
      <c r="CG65" s="33"/>
      <c r="CH65" s="33"/>
      <c r="CI65" s="33"/>
    </row>
    <row r="66" spans="1:87">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c r="BY66" s="33"/>
      <c r="BZ66" s="33"/>
      <c r="CA66" s="33"/>
      <c r="CB66" s="33"/>
      <c r="CC66" s="33"/>
      <c r="CD66" s="33"/>
      <c r="CE66" s="33"/>
      <c r="CF66" s="33"/>
      <c r="CG66" s="33"/>
      <c r="CH66" s="33"/>
      <c r="CI66" s="33"/>
    </row>
    <row r="67" spans="1:87">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c r="BY67" s="33"/>
      <c r="BZ67" s="33"/>
      <c r="CA67" s="33"/>
      <c r="CB67" s="33"/>
      <c r="CC67" s="33"/>
      <c r="CD67" s="33"/>
      <c r="CE67" s="33"/>
      <c r="CF67" s="33"/>
      <c r="CG67" s="33"/>
      <c r="CH67" s="33"/>
      <c r="CI67" s="33"/>
    </row>
    <row r="68" spans="1:87">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33"/>
      <c r="BX68" s="33"/>
      <c r="BY68" s="33"/>
      <c r="BZ68" s="33"/>
      <c r="CA68" s="33"/>
      <c r="CB68" s="33"/>
      <c r="CC68" s="33"/>
      <c r="CD68" s="33"/>
      <c r="CE68" s="33"/>
      <c r="CF68" s="33"/>
      <c r="CG68" s="33"/>
      <c r="CH68" s="33"/>
      <c r="CI68" s="33"/>
    </row>
    <row r="69" spans="1:87">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c r="BY69" s="33"/>
      <c r="BZ69" s="33"/>
      <c r="CA69" s="33"/>
      <c r="CB69" s="33"/>
      <c r="CC69" s="33"/>
      <c r="CD69" s="33"/>
      <c r="CE69" s="33"/>
      <c r="CF69" s="33"/>
      <c r="CG69" s="33"/>
      <c r="CH69" s="33"/>
      <c r="CI69" s="33"/>
    </row>
    <row r="70" spans="1:87">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33"/>
      <c r="BX70" s="33"/>
      <c r="BY70" s="33"/>
      <c r="BZ70" s="33"/>
      <c r="CA70" s="33"/>
      <c r="CB70" s="33"/>
      <c r="CC70" s="33"/>
      <c r="CD70" s="33"/>
      <c r="CE70" s="33"/>
      <c r="CF70" s="33"/>
      <c r="CG70" s="33"/>
      <c r="CH70" s="33"/>
      <c r="CI70" s="33"/>
    </row>
    <row r="71" spans="1:87">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c r="BY71" s="33"/>
      <c r="BZ71" s="33"/>
      <c r="CA71" s="33"/>
      <c r="CB71" s="33"/>
      <c r="CC71" s="33"/>
      <c r="CD71" s="33"/>
      <c r="CE71" s="33"/>
      <c r="CF71" s="33"/>
      <c r="CG71" s="33"/>
      <c r="CH71" s="33"/>
      <c r="CI71" s="33"/>
    </row>
    <row r="72" spans="1:87">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c r="BY72" s="33"/>
      <c r="BZ72" s="33"/>
      <c r="CA72" s="33"/>
      <c r="CB72" s="33"/>
      <c r="CC72" s="33"/>
      <c r="CD72" s="33"/>
      <c r="CE72" s="33"/>
      <c r="CF72" s="33"/>
      <c r="CG72" s="33"/>
      <c r="CH72" s="33"/>
      <c r="CI72" s="33"/>
    </row>
    <row r="73" spans="1:87">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c r="BY73" s="33"/>
      <c r="BZ73" s="33"/>
      <c r="CA73" s="33"/>
      <c r="CB73" s="33"/>
      <c r="CC73" s="33"/>
      <c r="CD73" s="33"/>
      <c r="CE73" s="33"/>
      <c r="CF73" s="33"/>
      <c r="CG73" s="33"/>
      <c r="CH73" s="33"/>
      <c r="CI73" s="33"/>
    </row>
    <row r="74" spans="1:87">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row>
    <row r="75" spans="1:87">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c r="BY75" s="33"/>
      <c r="BZ75" s="33"/>
      <c r="CA75" s="33"/>
      <c r="CB75" s="33"/>
      <c r="CC75" s="33"/>
      <c r="CD75" s="33"/>
      <c r="CE75" s="33"/>
      <c r="CF75" s="33"/>
      <c r="CG75" s="33"/>
      <c r="CH75" s="33"/>
      <c r="CI75" s="33"/>
    </row>
    <row r="76" spans="1:87">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c r="BY76" s="33"/>
      <c r="BZ76" s="33"/>
      <c r="CA76" s="33"/>
      <c r="CB76" s="33"/>
      <c r="CC76" s="33"/>
      <c r="CD76" s="33"/>
      <c r="CE76" s="33"/>
      <c r="CF76" s="33"/>
      <c r="CG76" s="33"/>
      <c r="CH76" s="33"/>
      <c r="CI76" s="33"/>
    </row>
    <row r="77" spans="1:87">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row>
    <row r="78" spans="1:87">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row>
    <row r="79" spans="1:87">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c r="BY79" s="33"/>
      <c r="BZ79" s="33"/>
      <c r="CA79" s="33"/>
      <c r="CB79" s="33"/>
      <c r="CC79" s="33"/>
      <c r="CD79" s="33"/>
      <c r="CE79" s="33"/>
      <c r="CF79" s="33"/>
      <c r="CG79" s="33"/>
      <c r="CH79" s="33"/>
      <c r="CI79" s="33"/>
    </row>
    <row r="80" spans="1:87">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row>
    <row r="81" spans="1:87">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c r="BS81" s="33"/>
      <c r="BT81" s="33"/>
      <c r="BU81" s="33"/>
      <c r="BV81" s="33"/>
      <c r="BW81" s="33"/>
      <c r="BX81" s="33"/>
      <c r="BY81" s="33"/>
      <c r="BZ81" s="33"/>
      <c r="CA81" s="33"/>
      <c r="CB81" s="33"/>
      <c r="CC81" s="33"/>
      <c r="CD81" s="33"/>
      <c r="CE81" s="33"/>
      <c r="CF81" s="33"/>
      <c r="CG81" s="33"/>
      <c r="CH81" s="33"/>
      <c r="CI81" s="33"/>
    </row>
    <row r="82" spans="1:87">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c r="BY82" s="33"/>
      <c r="BZ82" s="33"/>
      <c r="CA82" s="33"/>
      <c r="CB82" s="33"/>
      <c r="CC82" s="33"/>
      <c r="CD82" s="33"/>
      <c r="CE82" s="33"/>
      <c r="CF82" s="33"/>
      <c r="CG82" s="33"/>
      <c r="CH82" s="33"/>
      <c r="CI82" s="33"/>
    </row>
    <row r="83" spans="1:87">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c r="BY83" s="33"/>
      <c r="BZ83" s="33"/>
      <c r="CA83" s="33"/>
      <c r="CB83" s="33"/>
      <c r="CC83" s="33"/>
      <c r="CD83" s="33"/>
      <c r="CE83" s="33"/>
      <c r="CF83" s="33"/>
      <c r="CG83" s="33"/>
      <c r="CH83" s="33"/>
      <c r="CI83" s="33"/>
    </row>
    <row r="84" spans="1:87">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c r="BY84" s="33"/>
      <c r="BZ84" s="33"/>
      <c r="CA84" s="33"/>
      <c r="CB84" s="33"/>
      <c r="CC84" s="33"/>
      <c r="CD84" s="33"/>
      <c r="CE84" s="33"/>
      <c r="CF84" s="33"/>
      <c r="CG84" s="33"/>
      <c r="CH84" s="33"/>
      <c r="CI84" s="33"/>
    </row>
    <row r="85" spans="1:87">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c r="BY85" s="33"/>
      <c r="BZ85" s="33"/>
      <c r="CA85" s="33"/>
      <c r="CB85" s="33"/>
      <c r="CC85" s="33"/>
      <c r="CD85" s="33"/>
      <c r="CE85" s="33"/>
      <c r="CF85" s="33"/>
      <c r="CG85" s="33"/>
      <c r="CH85" s="33"/>
      <c r="CI85" s="33"/>
    </row>
    <row r="86" spans="1:87">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c r="BY86" s="33"/>
      <c r="BZ86" s="33"/>
      <c r="CA86" s="33"/>
      <c r="CB86" s="33"/>
      <c r="CC86" s="33"/>
      <c r="CD86" s="33"/>
      <c r="CE86" s="33"/>
      <c r="CF86" s="33"/>
      <c r="CG86" s="33"/>
      <c r="CH86" s="33"/>
      <c r="CI86" s="33"/>
    </row>
    <row r="87" spans="1:87">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row>
    <row r="88" spans="1:87">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row>
    <row r="89" spans="1:87">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row>
    <row r="90" spans="1:87">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c r="BY90" s="33"/>
      <c r="BZ90" s="33"/>
      <c r="CA90" s="33"/>
      <c r="CB90" s="33"/>
      <c r="CC90" s="33"/>
      <c r="CD90" s="33"/>
      <c r="CE90" s="33"/>
      <c r="CF90" s="33"/>
      <c r="CG90" s="33"/>
      <c r="CH90" s="33"/>
      <c r="CI90" s="33"/>
    </row>
    <row r="91" spans="1:87">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row>
    <row r="92" spans="1:87">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row>
    <row r="93" spans="1:87">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row>
    <row r="94" spans="1:87">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row>
    <row r="95" spans="1:87">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row>
    <row r="96" spans="1:87">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row>
    <row r="97" spans="1:87">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row>
    <row r="98" spans="1:87">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row>
    <row r="99" spans="1:87">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row>
    <row r="100" spans="1:87">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row>
    <row r="101" spans="1:87">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row>
    <row r="102" spans="1:87">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row>
    <row r="103" spans="1:87">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row>
    <row r="104" spans="1:87">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row>
    <row r="105" spans="1:87">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row>
    <row r="106" spans="1:87">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row>
    <row r="107" spans="1:87">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row>
    <row r="108" spans="1:87">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row>
    <row r="109" spans="1:87">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row>
    <row r="110" spans="1:87">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row>
    <row r="111" spans="1:87">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row>
    <row r="112" spans="1:87">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row>
    <row r="113" spans="1:87">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row>
    <row r="114" spans="1:87">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row>
    <row r="115" spans="1:87">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row>
    <row r="116" spans="1:87">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row>
    <row r="117" spans="1:87">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row>
    <row r="118" spans="1:87">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row>
    <row r="119" spans="1:87">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row>
    <row r="120" spans="1:87">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row>
    <row r="121" spans="1:87">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row>
    <row r="122" spans="1:87">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row>
    <row r="123" spans="1:87">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row>
    <row r="124" spans="1:87">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row>
    <row r="125" spans="1:87">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row>
    <row r="126" spans="1:87">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row>
    <row r="127" spans="1:87">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row>
    <row r="128" spans="1:87">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row>
    <row r="129" spans="1:87">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row>
    <row r="130" spans="1:87">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row>
    <row r="131" spans="1:87">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c r="BY131" s="33"/>
      <c r="BZ131" s="33"/>
      <c r="CA131" s="33"/>
      <c r="CB131" s="33"/>
      <c r="CC131" s="33"/>
      <c r="CD131" s="33"/>
      <c r="CE131" s="33"/>
      <c r="CF131" s="33"/>
      <c r="CG131" s="33"/>
      <c r="CH131" s="33"/>
      <c r="CI131" s="33"/>
    </row>
    <row r="132" spans="1:87">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row>
    <row r="133" spans="1:87">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c r="BY133" s="33"/>
      <c r="BZ133" s="33"/>
      <c r="CA133" s="33"/>
      <c r="CB133" s="33"/>
      <c r="CC133" s="33"/>
      <c r="CD133" s="33"/>
      <c r="CE133" s="33"/>
      <c r="CF133" s="33"/>
      <c r="CG133" s="33"/>
      <c r="CH133" s="33"/>
      <c r="CI133" s="33"/>
    </row>
    <row r="134" spans="1:87">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row>
    <row r="135" spans="1:87">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row>
    <row r="136" spans="1:87">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row>
    <row r="137" spans="1:87">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row>
    <row r="138" spans="1:87">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c r="BY138" s="33"/>
      <c r="BZ138" s="33"/>
      <c r="CA138" s="33"/>
      <c r="CB138" s="33"/>
      <c r="CC138" s="33"/>
      <c r="CD138" s="33"/>
      <c r="CE138" s="33"/>
      <c r="CF138" s="33"/>
      <c r="CG138" s="33"/>
      <c r="CH138" s="33"/>
      <c r="CI138" s="33"/>
    </row>
    <row r="139" spans="1:87">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3"/>
      <c r="CA139" s="33"/>
      <c r="CB139" s="33"/>
      <c r="CC139" s="33"/>
      <c r="CD139" s="33"/>
      <c r="CE139" s="33"/>
      <c r="CF139" s="33"/>
      <c r="CG139" s="33"/>
      <c r="CH139" s="33"/>
      <c r="CI139" s="33"/>
    </row>
    <row r="140" spans="1:87">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c r="BY140" s="33"/>
      <c r="BZ140" s="33"/>
      <c r="CA140" s="33"/>
      <c r="CB140" s="33"/>
      <c r="CC140" s="33"/>
      <c r="CD140" s="33"/>
      <c r="CE140" s="33"/>
      <c r="CF140" s="33"/>
      <c r="CG140" s="33"/>
      <c r="CH140" s="33"/>
      <c r="CI140" s="33"/>
    </row>
    <row r="141" spans="1:87">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c r="BY141" s="33"/>
      <c r="BZ141" s="33"/>
      <c r="CA141" s="33"/>
      <c r="CB141" s="33"/>
      <c r="CC141" s="33"/>
      <c r="CD141" s="33"/>
      <c r="CE141" s="33"/>
      <c r="CF141" s="33"/>
      <c r="CG141" s="33"/>
      <c r="CH141" s="33"/>
      <c r="CI141" s="33"/>
    </row>
    <row r="142" spans="1:87">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c r="BY142" s="33"/>
      <c r="BZ142" s="33"/>
      <c r="CA142" s="33"/>
      <c r="CB142" s="33"/>
      <c r="CC142" s="33"/>
      <c r="CD142" s="33"/>
      <c r="CE142" s="33"/>
      <c r="CF142" s="33"/>
      <c r="CG142" s="33"/>
      <c r="CH142" s="33"/>
      <c r="CI142" s="33"/>
    </row>
    <row r="143" spans="1:87">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row>
    <row r="144" spans="1:87">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row>
    <row r="145" spans="1:87">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row>
    <row r="146" spans="1:87">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c r="BY146" s="33"/>
      <c r="BZ146" s="33"/>
      <c r="CA146" s="33"/>
      <c r="CB146" s="33"/>
      <c r="CC146" s="33"/>
      <c r="CD146" s="33"/>
      <c r="CE146" s="33"/>
      <c r="CF146" s="33"/>
      <c r="CG146" s="33"/>
      <c r="CH146" s="33"/>
      <c r="CI146" s="33"/>
    </row>
    <row r="147" spans="1:87">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c r="BY147" s="33"/>
      <c r="BZ147" s="33"/>
      <c r="CA147" s="33"/>
      <c r="CB147" s="33"/>
      <c r="CC147" s="33"/>
      <c r="CD147" s="33"/>
      <c r="CE147" s="33"/>
      <c r="CF147" s="33"/>
      <c r="CG147" s="33"/>
      <c r="CH147" s="33"/>
      <c r="CI147" s="33"/>
    </row>
    <row r="148" spans="1:87">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row>
    <row r="149" spans="1:87">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row>
    <row r="150" spans="1:87">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row>
    <row r="151" spans="1:87">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row>
    <row r="152" spans="1:87">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row>
    <row r="153" spans="1:87">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row>
    <row r="154" spans="1:87">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row>
    <row r="155" spans="1:87">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row>
    <row r="156" spans="1:87">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row>
    <row r="157" spans="1:87">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row>
    <row r="158" spans="1:87">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row>
    <row r="159" spans="1:87">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row>
    <row r="160" spans="1:87">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c r="BY160" s="33"/>
      <c r="BZ160" s="33"/>
      <c r="CA160" s="33"/>
      <c r="CB160" s="33"/>
      <c r="CC160" s="33"/>
      <c r="CD160" s="33"/>
      <c r="CE160" s="33"/>
      <c r="CF160" s="33"/>
      <c r="CG160" s="33"/>
      <c r="CH160" s="33"/>
      <c r="CI160" s="33"/>
    </row>
    <row r="161" spans="1:87">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row>
    <row r="162" spans="1:87">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row>
    <row r="163" spans="1:87">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row>
    <row r="164" spans="1:87">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row>
    <row r="165" spans="1:87">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row>
    <row r="166" spans="1:87">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c r="BY166" s="33"/>
      <c r="BZ166" s="33"/>
      <c r="CA166" s="33"/>
      <c r="CB166" s="33"/>
      <c r="CC166" s="33"/>
      <c r="CD166" s="33"/>
      <c r="CE166" s="33"/>
      <c r="CF166" s="33"/>
      <c r="CG166" s="33"/>
      <c r="CH166" s="33"/>
      <c r="CI166" s="33"/>
    </row>
    <row r="167" spans="1:87">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c r="BY167" s="33"/>
      <c r="BZ167" s="33"/>
      <c r="CA167" s="33"/>
      <c r="CB167" s="33"/>
      <c r="CC167" s="33"/>
      <c r="CD167" s="33"/>
      <c r="CE167" s="33"/>
      <c r="CF167" s="33"/>
      <c r="CG167" s="33"/>
      <c r="CH167" s="33"/>
      <c r="CI167" s="33"/>
    </row>
    <row r="168" spans="1:87">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row>
    <row r="169" spans="1:87">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c r="BY169" s="33"/>
      <c r="BZ169" s="33"/>
      <c r="CA169" s="33"/>
      <c r="CB169" s="33"/>
      <c r="CC169" s="33"/>
      <c r="CD169" s="33"/>
      <c r="CE169" s="33"/>
      <c r="CF169" s="33"/>
      <c r="CG169" s="33"/>
      <c r="CH169" s="33"/>
      <c r="CI169" s="33"/>
    </row>
    <row r="170" spans="1:87">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row>
    <row r="171" spans="1:87">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row>
    <row r="172" spans="1:87">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row>
  </sheetData>
  <sheetProtection algorithmName="SHA-512" hashValue="6FufnxHKBWxi/a2iollmKItmSgj9MNKBBs5o7Wv6Sdi4jeowE7jX+iIEx8U2XFhSx1dH5Cz9Ht7teyTsagcfIw==" saltValue="0SmmeAg8SgxTIAL9pAGFtA==" spinCount="100000" sheet="1" selectLockedCells="1"/>
  <mergeCells count="61">
    <mergeCell ref="AG8:AG10"/>
    <mergeCell ref="AI7:AI9"/>
    <mergeCell ref="AN7:AP8"/>
    <mergeCell ref="AH7:AH9"/>
    <mergeCell ref="AF7:AF9"/>
    <mergeCell ref="C29:E29"/>
    <mergeCell ref="E22:I22"/>
    <mergeCell ref="J22:N22"/>
    <mergeCell ref="L7:L9"/>
    <mergeCell ref="AC9:AD9"/>
    <mergeCell ref="P7:P9"/>
    <mergeCell ref="M7:M9"/>
    <mergeCell ref="H7:H9"/>
    <mergeCell ref="T7:T9"/>
    <mergeCell ref="W7:W9"/>
    <mergeCell ref="S7:S9"/>
    <mergeCell ref="F28:H28"/>
    <mergeCell ref="J7:J9"/>
    <mergeCell ref="Q7:Q9"/>
    <mergeCell ref="X7:X9"/>
    <mergeCell ref="Y7:Y9"/>
    <mergeCell ref="AB7:AB9"/>
    <mergeCell ref="O7:O9"/>
    <mergeCell ref="U7:U9"/>
    <mergeCell ref="N7:N9"/>
    <mergeCell ref="Z7:Z9"/>
    <mergeCell ref="V7:V9"/>
    <mergeCell ref="B7:B9"/>
    <mergeCell ref="C7:C9"/>
    <mergeCell ref="D7:D9"/>
    <mergeCell ref="E7:E9"/>
    <mergeCell ref="F7:F9"/>
    <mergeCell ref="D6:G6"/>
    <mergeCell ref="H6:J6"/>
    <mergeCell ref="K6:O6"/>
    <mergeCell ref="BE7:BE9"/>
    <mergeCell ref="G7:G9"/>
    <mergeCell ref="BB7:BB9"/>
    <mergeCell ref="AL7:AL9"/>
    <mergeCell ref="AM7:AM9"/>
    <mergeCell ref="BC7:BC9"/>
    <mergeCell ref="BD7:BD9"/>
    <mergeCell ref="AA7:AA9"/>
    <mergeCell ref="K7:K9"/>
    <mergeCell ref="I7:I9"/>
    <mergeCell ref="R7:R9"/>
    <mergeCell ref="AV7:AV9"/>
    <mergeCell ref="AC7:AE8"/>
    <mergeCell ref="BA7:BA9"/>
    <mergeCell ref="AJ7:AJ9"/>
    <mergeCell ref="AZ7:AZ9"/>
    <mergeCell ref="AY7:AY9"/>
    <mergeCell ref="AK7:AK9"/>
    <mergeCell ref="AW7:AW9"/>
    <mergeCell ref="AU7:AU9"/>
    <mergeCell ref="AS7:AS9"/>
    <mergeCell ref="AT7:AT9"/>
    <mergeCell ref="AX7:AX9"/>
    <mergeCell ref="AQ7:AQ9"/>
    <mergeCell ref="AR7:AR9"/>
    <mergeCell ref="AN9:AO9"/>
  </mergeCells>
  <conditionalFormatting sqref="H11:J18">
    <cfRule type="expression" dxfId="12" priority="5" stopIfTrue="1">
      <formula>IF($D11="New Construction", TRUE, FALSE)</formula>
    </cfRule>
  </conditionalFormatting>
  <conditionalFormatting sqref="AV11:AV18">
    <cfRule type="expression" dxfId="11" priority="3" stopIfTrue="1">
      <formula>IF($AY11&lt;0, TRUE, FALSE)</formula>
    </cfRule>
  </conditionalFormatting>
  <conditionalFormatting sqref="AV11:AY18">
    <cfRule type="expression" dxfId="10" priority="4" stopIfTrue="1">
      <formula>IF($BB11="No", TRUE, FALSE)</formula>
    </cfRule>
  </conditionalFormatting>
  <conditionalFormatting sqref="AY11:BE18">
    <cfRule type="expression" dxfId="9" priority="1" stopIfTrue="1">
      <formula>IF($AY11&lt;0, TRUE, FALSE)</formula>
    </cfRule>
  </conditionalFormatting>
  <conditionalFormatting sqref="AZ11:BE18">
    <cfRule type="expression" dxfId="8" priority="2" stopIfTrue="1">
      <formula>IF($BB11="No", TRUE, FALSE)</formula>
    </cfRule>
  </conditionalFormatting>
  <dataValidations count="3">
    <dataValidation type="list" allowBlank="1" showInputMessage="1" showErrorMessage="1" sqref="F11:F18" xr:uid="{74BF9E50-D9F2-4462-A0A8-8A6034B06B8E}">
      <formula1>Zip_Code</formula1>
    </dataValidation>
    <dataValidation type="list" allowBlank="1" showInputMessage="1" showErrorMessage="1" sqref="E11:E18" xr:uid="{00000000-0002-0000-0900-000002000000}">
      <formula1>Facility_Types</formula1>
    </dataValidation>
    <dataValidation type="list" allowBlank="1" showInputMessage="1" showErrorMessage="1" sqref="D11:D18" xr:uid="{006E74E4-DB69-4485-B1AC-F9EDC4065938}">
      <formula1>$C$26:$C$27</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13B9A-FB16-4893-AF59-38F04845B280}">
  <sheetPr codeName="Sheet2"/>
  <dimension ref="A1:AJ527"/>
  <sheetViews>
    <sheetView workbookViewId="0">
      <selection activeCell="B3" sqref="B3:C3"/>
    </sheetView>
  </sheetViews>
  <sheetFormatPr defaultRowHeight="15"/>
  <cols>
    <col min="1" max="1" width="3.7109375" customWidth="1"/>
    <col min="2" max="2" width="6.5703125" customWidth="1"/>
    <col min="3" max="3" width="22.28515625" customWidth="1"/>
    <col min="4" max="5" width="26.5703125" customWidth="1"/>
    <col min="6" max="6" width="20" customWidth="1"/>
    <col min="7" max="7" width="23.42578125" customWidth="1"/>
    <col min="8" max="8" width="35.85546875" bestFit="1" customWidth="1"/>
    <col min="9" max="9" width="22.28515625" customWidth="1"/>
    <col min="10" max="10" width="21.140625" customWidth="1"/>
    <col min="11" max="11" width="23.7109375" customWidth="1"/>
    <col min="12" max="12" width="21.85546875" customWidth="1"/>
    <col min="13" max="13" width="15.42578125" customWidth="1"/>
    <col min="14" max="14" width="36.140625" bestFit="1" customWidth="1"/>
    <col min="15" max="15" width="21" bestFit="1" customWidth="1"/>
    <col min="16" max="17" width="20" hidden="1" customWidth="1"/>
    <col min="18" max="18" width="42.140625" hidden="1" customWidth="1"/>
    <col min="19" max="19" width="13.140625" hidden="1" customWidth="1"/>
    <col min="20" max="20" width="15.140625" hidden="1" customWidth="1"/>
    <col min="21" max="21" width="13.42578125" hidden="1" customWidth="1"/>
    <col min="22" max="22" width="18.7109375" hidden="1" customWidth="1"/>
    <col min="23" max="24" width="27.42578125" hidden="1" customWidth="1"/>
    <col min="25" max="25" width="14.42578125" hidden="1" customWidth="1"/>
    <col min="26" max="26" width="18.5703125" hidden="1" customWidth="1"/>
    <col min="27" max="27" width="16.7109375" hidden="1" customWidth="1"/>
    <col min="28" max="28" width="16.7109375" customWidth="1"/>
    <col min="29" max="29" width="15.140625" customWidth="1"/>
    <col min="30" max="30" width="14.85546875" customWidth="1"/>
    <col min="31" max="31" width="14.85546875" hidden="1" customWidth="1"/>
    <col min="32" max="32" width="12.5703125" customWidth="1"/>
    <col min="33" max="33" width="32.140625" hidden="1" customWidth="1"/>
    <col min="34" max="34" width="18.42578125" hidden="1" customWidth="1"/>
    <col min="35" max="35" width="7.28515625" hidden="1" customWidth="1"/>
    <col min="36" max="260" width="9.140625" style="11"/>
    <col min="261" max="261" width="3.7109375" style="11" customWidth="1"/>
    <col min="262" max="262" width="6.5703125" style="11" customWidth="1"/>
    <col min="263" max="263" width="22.28515625" style="11" customWidth="1"/>
    <col min="264" max="264" width="26.5703125" style="11" customWidth="1"/>
    <col min="265" max="265" width="20" style="11" customWidth="1"/>
    <col min="266" max="266" width="23.42578125" style="11" customWidth="1"/>
    <col min="267" max="267" width="35.85546875" style="11" bestFit="1" customWidth="1"/>
    <col min="268" max="268" width="22.28515625" style="11" customWidth="1"/>
    <col min="269" max="269" width="21.140625" style="11" customWidth="1"/>
    <col min="270" max="270" width="23.7109375" style="11" customWidth="1"/>
    <col min="271" max="271" width="21.85546875" style="11" customWidth="1"/>
    <col min="272" max="272" width="15.42578125" style="11" customWidth="1"/>
    <col min="273" max="273" width="36.140625" style="11" bestFit="1" customWidth="1"/>
    <col min="274" max="274" width="21.28515625" style="11" customWidth="1"/>
    <col min="275" max="276" width="20" style="11" customWidth="1"/>
    <col min="277" max="277" width="42.140625" style="11" customWidth="1"/>
    <col min="278" max="278" width="13.140625" style="11" customWidth="1"/>
    <col min="279" max="279" width="15.140625" style="11" customWidth="1"/>
    <col min="280" max="280" width="13.42578125" style="11" customWidth="1"/>
    <col min="281" max="281" width="18.7109375" style="11" customWidth="1"/>
    <col min="282" max="283" width="27.42578125" style="11" customWidth="1"/>
    <col min="284" max="284" width="14.42578125" style="11" customWidth="1"/>
    <col min="285" max="285" width="18.5703125" style="11" customWidth="1"/>
    <col min="286" max="286" width="16.7109375" style="11" customWidth="1"/>
    <col min="287" max="287" width="15.140625" style="11" customWidth="1"/>
    <col min="288" max="288" width="14.85546875" style="11" customWidth="1"/>
    <col min="289" max="289" width="12.5703125" style="11" customWidth="1"/>
    <col min="290" max="290" width="18.42578125" style="11" bestFit="1" customWidth="1"/>
    <col min="291" max="291" width="7.28515625" style="11" customWidth="1"/>
    <col min="292" max="516" width="9.140625" style="11"/>
    <col min="517" max="517" width="3.7109375" style="11" customWidth="1"/>
    <col min="518" max="518" width="6.5703125" style="11" customWidth="1"/>
    <col min="519" max="519" width="22.28515625" style="11" customWidth="1"/>
    <col min="520" max="520" width="26.5703125" style="11" customWidth="1"/>
    <col min="521" max="521" width="20" style="11" customWidth="1"/>
    <col min="522" max="522" width="23.42578125" style="11" customWidth="1"/>
    <col min="523" max="523" width="35.85546875" style="11" bestFit="1" customWidth="1"/>
    <col min="524" max="524" width="22.28515625" style="11" customWidth="1"/>
    <col min="525" max="525" width="21.140625" style="11" customWidth="1"/>
    <col min="526" max="526" width="23.7109375" style="11" customWidth="1"/>
    <col min="527" max="527" width="21.85546875" style="11" customWidth="1"/>
    <col min="528" max="528" width="15.42578125" style="11" customWidth="1"/>
    <col min="529" max="529" width="36.140625" style="11" bestFit="1" customWidth="1"/>
    <col min="530" max="530" width="21.28515625" style="11" customWidth="1"/>
    <col min="531" max="532" width="20" style="11" customWidth="1"/>
    <col min="533" max="533" width="42.140625" style="11" customWidth="1"/>
    <col min="534" max="534" width="13.140625" style="11" customWidth="1"/>
    <col min="535" max="535" width="15.140625" style="11" customWidth="1"/>
    <col min="536" max="536" width="13.42578125" style="11" customWidth="1"/>
    <col min="537" max="537" width="18.7109375" style="11" customWidth="1"/>
    <col min="538" max="539" width="27.42578125" style="11" customWidth="1"/>
    <col min="540" max="540" width="14.42578125" style="11" customWidth="1"/>
    <col min="541" max="541" width="18.5703125" style="11" customWidth="1"/>
    <col min="542" max="542" width="16.7109375" style="11" customWidth="1"/>
    <col min="543" max="543" width="15.140625" style="11" customWidth="1"/>
    <col min="544" max="544" width="14.85546875" style="11" customWidth="1"/>
    <col min="545" max="545" width="12.5703125" style="11" customWidth="1"/>
    <col min="546" max="546" width="18.42578125" style="11" bestFit="1" customWidth="1"/>
    <col min="547" max="547" width="7.28515625" style="11" customWidth="1"/>
    <col min="548" max="772" width="9.140625" style="11"/>
    <col min="773" max="773" width="3.7109375" style="11" customWidth="1"/>
    <col min="774" max="774" width="6.5703125" style="11" customWidth="1"/>
    <col min="775" max="775" width="22.28515625" style="11" customWidth="1"/>
    <col min="776" max="776" width="26.5703125" style="11" customWidth="1"/>
    <col min="777" max="777" width="20" style="11" customWidth="1"/>
    <col min="778" max="778" width="23.42578125" style="11" customWidth="1"/>
    <col min="779" max="779" width="35.85546875" style="11" bestFit="1" customWidth="1"/>
    <col min="780" max="780" width="22.28515625" style="11" customWidth="1"/>
    <col min="781" max="781" width="21.140625" style="11" customWidth="1"/>
    <col min="782" max="782" width="23.7109375" style="11" customWidth="1"/>
    <col min="783" max="783" width="21.85546875" style="11" customWidth="1"/>
    <col min="784" max="784" width="15.42578125" style="11" customWidth="1"/>
    <col min="785" max="785" width="36.140625" style="11" bestFit="1" customWidth="1"/>
    <col min="786" max="786" width="21.28515625" style="11" customWidth="1"/>
    <col min="787" max="788" width="20" style="11" customWidth="1"/>
    <col min="789" max="789" width="42.140625" style="11" customWidth="1"/>
    <col min="790" max="790" width="13.140625" style="11" customWidth="1"/>
    <col min="791" max="791" width="15.140625" style="11" customWidth="1"/>
    <col min="792" max="792" width="13.42578125" style="11" customWidth="1"/>
    <col min="793" max="793" width="18.7109375" style="11" customWidth="1"/>
    <col min="794" max="795" width="27.42578125" style="11" customWidth="1"/>
    <col min="796" max="796" width="14.42578125" style="11" customWidth="1"/>
    <col min="797" max="797" width="18.5703125" style="11" customWidth="1"/>
    <col min="798" max="798" width="16.7109375" style="11" customWidth="1"/>
    <col min="799" max="799" width="15.140625" style="11" customWidth="1"/>
    <col min="800" max="800" width="14.85546875" style="11" customWidth="1"/>
    <col min="801" max="801" width="12.5703125" style="11" customWidth="1"/>
    <col min="802" max="802" width="18.42578125" style="11" bestFit="1" customWidth="1"/>
    <col min="803" max="803" width="7.28515625" style="11" customWidth="1"/>
    <col min="804" max="1028" width="9.140625" style="11"/>
    <col min="1029" max="1029" width="3.7109375" style="11" customWidth="1"/>
    <col min="1030" max="1030" width="6.5703125" style="11" customWidth="1"/>
    <col min="1031" max="1031" width="22.28515625" style="11" customWidth="1"/>
    <col min="1032" max="1032" width="26.5703125" style="11" customWidth="1"/>
    <col min="1033" max="1033" width="20" style="11" customWidth="1"/>
    <col min="1034" max="1034" width="23.42578125" style="11" customWidth="1"/>
    <col min="1035" max="1035" width="35.85546875" style="11" bestFit="1" customWidth="1"/>
    <col min="1036" max="1036" width="22.28515625" style="11" customWidth="1"/>
    <col min="1037" max="1037" width="21.140625" style="11" customWidth="1"/>
    <col min="1038" max="1038" width="23.7109375" style="11" customWidth="1"/>
    <col min="1039" max="1039" width="21.85546875" style="11" customWidth="1"/>
    <col min="1040" max="1040" width="15.42578125" style="11" customWidth="1"/>
    <col min="1041" max="1041" width="36.140625" style="11" bestFit="1" customWidth="1"/>
    <col min="1042" max="1042" width="21.28515625" style="11" customWidth="1"/>
    <col min="1043" max="1044" width="20" style="11" customWidth="1"/>
    <col min="1045" max="1045" width="42.140625" style="11" customWidth="1"/>
    <col min="1046" max="1046" width="13.140625" style="11" customWidth="1"/>
    <col min="1047" max="1047" width="15.140625" style="11" customWidth="1"/>
    <col min="1048" max="1048" width="13.42578125" style="11" customWidth="1"/>
    <col min="1049" max="1049" width="18.7109375" style="11" customWidth="1"/>
    <col min="1050" max="1051" width="27.42578125" style="11" customWidth="1"/>
    <col min="1052" max="1052" width="14.42578125" style="11" customWidth="1"/>
    <col min="1053" max="1053" width="18.5703125" style="11" customWidth="1"/>
    <col min="1054" max="1054" width="16.7109375" style="11" customWidth="1"/>
    <col min="1055" max="1055" width="15.140625" style="11" customWidth="1"/>
    <col min="1056" max="1056" width="14.85546875" style="11" customWidth="1"/>
    <col min="1057" max="1057" width="12.5703125" style="11" customWidth="1"/>
    <col min="1058" max="1058" width="18.42578125" style="11" bestFit="1" customWidth="1"/>
    <col min="1059" max="1059" width="7.28515625" style="11" customWidth="1"/>
    <col min="1060" max="1284" width="9.140625" style="11"/>
    <col min="1285" max="1285" width="3.7109375" style="11" customWidth="1"/>
    <col min="1286" max="1286" width="6.5703125" style="11" customWidth="1"/>
    <col min="1287" max="1287" width="22.28515625" style="11" customWidth="1"/>
    <col min="1288" max="1288" width="26.5703125" style="11" customWidth="1"/>
    <col min="1289" max="1289" width="20" style="11" customWidth="1"/>
    <col min="1290" max="1290" width="23.42578125" style="11" customWidth="1"/>
    <col min="1291" max="1291" width="35.85546875" style="11" bestFit="1" customWidth="1"/>
    <col min="1292" max="1292" width="22.28515625" style="11" customWidth="1"/>
    <col min="1293" max="1293" width="21.140625" style="11" customWidth="1"/>
    <col min="1294" max="1294" width="23.7109375" style="11" customWidth="1"/>
    <col min="1295" max="1295" width="21.85546875" style="11" customWidth="1"/>
    <col min="1296" max="1296" width="15.42578125" style="11" customWidth="1"/>
    <col min="1297" max="1297" width="36.140625" style="11" bestFit="1" customWidth="1"/>
    <col min="1298" max="1298" width="21.28515625" style="11" customWidth="1"/>
    <col min="1299" max="1300" width="20" style="11" customWidth="1"/>
    <col min="1301" max="1301" width="42.140625" style="11" customWidth="1"/>
    <col min="1302" max="1302" width="13.140625" style="11" customWidth="1"/>
    <col min="1303" max="1303" width="15.140625" style="11" customWidth="1"/>
    <col min="1304" max="1304" width="13.42578125" style="11" customWidth="1"/>
    <col min="1305" max="1305" width="18.7109375" style="11" customWidth="1"/>
    <col min="1306" max="1307" width="27.42578125" style="11" customWidth="1"/>
    <col min="1308" max="1308" width="14.42578125" style="11" customWidth="1"/>
    <col min="1309" max="1309" width="18.5703125" style="11" customWidth="1"/>
    <col min="1310" max="1310" width="16.7109375" style="11" customWidth="1"/>
    <col min="1311" max="1311" width="15.140625" style="11" customWidth="1"/>
    <col min="1312" max="1312" width="14.85546875" style="11" customWidth="1"/>
    <col min="1313" max="1313" width="12.5703125" style="11" customWidth="1"/>
    <col min="1314" max="1314" width="18.42578125" style="11" bestFit="1" customWidth="1"/>
    <col min="1315" max="1315" width="7.28515625" style="11" customWidth="1"/>
    <col min="1316" max="1540" width="9.140625" style="11"/>
    <col min="1541" max="1541" width="3.7109375" style="11" customWidth="1"/>
    <col min="1542" max="1542" width="6.5703125" style="11" customWidth="1"/>
    <col min="1543" max="1543" width="22.28515625" style="11" customWidth="1"/>
    <col min="1544" max="1544" width="26.5703125" style="11" customWidth="1"/>
    <col min="1545" max="1545" width="20" style="11" customWidth="1"/>
    <col min="1546" max="1546" width="23.42578125" style="11" customWidth="1"/>
    <col min="1547" max="1547" width="35.85546875" style="11" bestFit="1" customWidth="1"/>
    <col min="1548" max="1548" width="22.28515625" style="11" customWidth="1"/>
    <col min="1549" max="1549" width="21.140625" style="11" customWidth="1"/>
    <col min="1550" max="1550" width="23.7109375" style="11" customWidth="1"/>
    <col min="1551" max="1551" width="21.85546875" style="11" customWidth="1"/>
    <col min="1552" max="1552" width="15.42578125" style="11" customWidth="1"/>
    <col min="1553" max="1553" width="36.140625" style="11" bestFit="1" customWidth="1"/>
    <col min="1554" max="1554" width="21.28515625" style="11" customWidth="1"/>
    <col min="1555" max="1556" width="20" style="11" customWidth="1"/>
    <col min="1557" max="1557" width="42.140625" style="11" customWidth="1"/>
    <col min="1558" max="1558" width="13.140625" style="11" customWidth="1"/>
    <col min="1559" max="1559" width="15.140625" style="11" customWidth="1"/>
    <col min="1560" max="1560" width="13.42578125" style="11" customWidth="1"/>
    <col min="1561" max="1561" width="18.7109375" style="11" customWidth="1"/>
    <col min="1562" max="1563" width="27.42578125" style="11" customWidth="1"/>
    <col min="1564" max="1564" width="14.42578125" style="11" customWidth="1"/>
    <col min="1565" max="1565" width="18.5703125" style="11" customWidth="1"/>
    <col min="1566" max="1566" width="16.7109375" style="11" customWidth="1"/>
    <col min="1567" max="1567" width="15.140625" style="11" customWidth="1"/>
    <col min="1568" max="1568" width="14.85546875" style="11" customWidth="1"/>
    <col min="1569" max="1569" width="12.5703125" style="11" customWidth="1"/>
    <col min="1570" max="1570" width="18.42578125" style="11" bestFit="1" customWidth="1"/>
    <col min="1571" max="1571" width="7.28515625" style="11" customWidth="1"/>
    <col min="1572" max="1796" width="9.140625" style="11"/>
    <col min="1797" max="1797" width="3.7109375" style="11" customWidth="1"/>
    <col min="1798" max="1798" width="6.5703125" style="11" customWidth="1"/>
    <col min="1799" max="1799" width="22.28515625" style="11" customWidth="1"/>
    <col min="1800" max="1800" width="26.5703125" style="11" customWidth="1"/>
    <col min="1801" max="1801" width="20" style="11" customWidth="1"/>
    <col min="1802" max="1802" width="23.42578125" style="11" customWidth="1"/>
    <col min="1803" max="1803" width="35.85546875" style="11" bestFit="1" customWidth="1"/>
    <col min="1804" max="1804" width="22.28515625" style="11" customWidth="1"/>
    <col min="1805" max="1805" width="21.140625" style="11" customWidth="1"/>
    <col min="1806" max="1806" width="23.7109375" style="11" customWidth="1"/>
    <col min="1807" max="1807" width="21.85546875" style="11" customWidth="1"/>
    <col min="1808" max="1808" width="15.42578125" style="11" customWidth="1"/>
    <col min="1809" max="1809" width="36.140625" style="11" bestFit="1" customWidth="1"/>
    <col min="1810" max="1810" width="21.28515625" style="11" customWidth="1"/>
    <col min="1811" max="1812" width="20" style="11" customWidth="1"/>
    <col min="1813" max="1813" width="42.140625" style="11" customWidth="1"/>
    <col min="1814" max="1814" width="13.140625" style="11" customWidth="1"/>
    <col min="1815" max="1815" width="15.140625" style="11" customWidth="1"/>
    <col min="1816" max="1816" width="13.42578125" style="11" customWidth="1"/>
    <col min="1817" max="1817" width="18.7109375" style="11" customWidth="1"/>
    <col min="1818" max="1819" width="27.42578125" style="11" customWidth="1"/>
    <col min="1820" max="1820" width="14.42578125" style="11" customWidth="1"/>
    <col min="1821" max="1821" width="18.5703125" style="11" customWidth="1"/>
    <col min="1822" max="1822" width="16.7109375" style="11" customWidth="1"/>
    <col min="1823" max="1823" width="15.140625" style="11" customWidth="1"/>
    <col min="1824" max="1824" width="14.85546875" style="11" customWidth="1"/>
    <col min="1825" max="1825" width="12.5703125" style="11" customWidth="1"/>
    <col min="1826" max="1826" width="18.42578125" style="11" bestFit="1" customWidth="1"/>
    <col min="1827" max="1827" width="7.28515625" style="11" customWidth="1"/>
    <col min="1828" max="2052" width="9.140625" style="11"/>
    <col min="2053" max="2053" width="3.7109375" style="11" customWidth="1"/>
    <col min="2054" max="2054" width="6.5703125" style="11" customWidth="1"/>
    <col min="2055" max="2055" width="22.28515625" style="11" customWidth="1"/>
    <col min="2056" max="2056" width="26.5703125" style="11" customWidth="1"/>
    <col min="2057" max="2057" width="20" style="11" customWidth="1"/>
    <col min="2058" max="2058" width="23.42578125" style="11" customWidth="1"/>
    <col min="2059" max="2059" width="35.85546875" style="11" bestFit="1" customWidth="1"/>
    <col min="2060" max="2060" width="22.28515625" style="11" customWidth="1"/>
    <col min="2061" max="2061" width="21.140625" style="11" customWidth="1"/>
    <col min="2062" max="2062" width="23.7109375" style="11" customWidth="1"/>
    <col min="2063" max="2063" width="21.85546875" style="11" customWidth="1"/>
    <col min="2064" max="2064" width="15.42578125" style="11" customWidth="1"/>
    <col min="2065" max="2065" width="36.140625" style="11" bestFit="1" customWidth="1"/>
    <col min="2066" max="2066" width="21.28515625" style="11" customWidth="1"/>
    <col min="2067" max="2068" width="20" style="11" customWidth="1"/>
    <col min="2069" max="2069" width="42.140625" style="11" customWidth="1"/>
    <col min="2070" max="2070" width="13.140625" style="11" customWidth="1"/>
    <col min="2071" max="2071" width="15.140625" style="11" customWidth="1"/>
    <col min="2072" max="2072" width="13.42578125" style="11" customWidth="1"/>
    <col min="2073" max="2073" width="18.7109375" style="11" customWidth="1"/>
    <col min="2074" max="2075" width="27.42578125" style="11" customWidth="1"/>
    <col min="2076" max="2076" width="14.42578125" style="11" customWidth="1"/>
    <col min="2077" max="2077" width="18.5703125" style="11" customWidth="1"/>
    <col min="2078" max="2078" width="16.7109375" style="11" customWidth="1"/>
    <col min="2079" max="2079" width="15.140625" style="11" customWidth="1"/>
    <col min="2080" max="2080" width="14.85546875" style="11" customWidth="1"/>
    <col min="2081" max="2081" width="12.5703125" style="11" customWidth="1"/>
    <col min="2082" max="2082" width="18.42578125" style="11" bestFit="1" customWidth="1"/>
    <col min="2083" max="2083" width="7.28515625" style="11" customWidth="1"/>
    <col min="2084" max="2308" width="9.140625" style="11"/>
    <col min="2309" max="2309" width="3.7109375" style="11" customWidth="1"/>
    <col min="2310" max="2310" width="6.5703125" style="11" customWidth="1"/>
    <col min="2311" max="2311" width="22.28515625" style="11" customWidth="1"/>
    <col min="2312" max="2312" width="26.5703125" style="11" customWidth="1"/>
    <col min="2313" max="2313" width="20" style="11" customWidth="1"/>
    <col min="2314" max="2314" width="23.42578125" style="11" customWidth="1"/>
    <col min="2315" max="2315" width="35.85546875" style="11" bestFit="1" customWidth="1"/>
    <col min="2316" max="2316" width="22.28515625" style="11" customWidth="1"/>
    <col min="2317" max="2317" width="21.140625" style="11" customWidth="1"/>
    <col min="2318" max="2318" width="23.7109375" style="11" customWidth="1"/>
    <col min="2319" max="2319" width="21.85546875" style="11" customWidth="1"/>
    <col min="2320" max="2320" width="15.42578125" style="11" customWidth="1"/>
    <col min="2321" max="2321" width="36.140625" style="11" bestFit="1" customWidth="1"/>
    <col min="2322" max="2322" width="21.28515625" style="11" customWidth="1"/>
    <col min="2323" max="2324" width="20" style="11" customWidth="1"/>
    <col min="2325" max="2325" width="42.140625" style="11" customWidth="1"/>
    <col min="2326" max="2326" width="13.140625" style="11" customWidth="1"/>
    <col min="2327" max="2327" width="15.140625" style="11" customWidth="1"/>
    <col min="2328" max="2328" width="13.42578125" style="11" customWidth="1"/>
    <col min="2329" max="2329" width="18.7109375" style="11" customWidth="1"/>
    <col min="2330" max="2331" width="27.42578125" style="11" customWidth="1"/>
    <col min="2332" max="2332" width="14.42578125" style="11" customWidth="1"/>
    <col min="2333" max="2333" width="18.5703125" style="11" customWidth="1"/>
    <col min="2334" max="2334" width="16.7109375" style="11" customWidth="1"/>
    <col min="2335" max="2335" width="15.140625" style="11" customWidth="1"/>
    <col min="2336" max="2336" width="14.85546875" style="11" customWidth="1"/>
    <col min="2337" max="2337" width="12.5703125" style="11" customWidth="1"/>
    <col min="2338" max="2338" width="18.42578125" style="11" bestFit="1" customWidth="1"/>
    <col min="2339" max="2339" width="7.28515625" style="11" customWidth="1"/>
    <col min="2340" max="2564" width="9.140625" style="11"/>
    <col min="2565" max="2565" width="3.7109375" style="11" customWidth="1"/>
    <col min="2566" max="2566" width="6.5703125" style="11" customWidth="1"/>
    <col min="2567" max="2567" width="22.28515625" style="11" customWidth="1"/>
    <col min="2568" max="2568" width="26.5703125" style="11" customWidth="1"/>
    <col min="2569" max="2569" width="20" style="11" customWidth="1"/>
    <col min="2570" max="2570" width="23.42578125" style="11" customWidth="1"/>
    <col min="2571" max="2571" width="35.85546875" style="11" bestFit="1" customWidth="1"/>
    <col min="2572" max="2572" width="22.28515625" style="11" customWidth="1"/>
    <col min="2573" max="2573" width="21.140625" style="11" customWidth="1"/>
    <col min="2574" max="2574" width="23.7109375" style="11" customWidth="1"/>
    <col min="2575" max="2575" width="21.85546875" style="11" customWidth="1"/>
    <col min="2576" max="2576" width="15.42578125" style="11" customWidth="1"/>
    <col min="2577" max="2577" width="36.140625" style="11" bestFit="1" customWidth="1"/>
    <col min="2578" max="2578" width="21.28515625" style="11" customWidth="1"/>
    <col min="2579" max="2580" width="20" style="11" customWidth="1"/>
    <col min="2581" max="2581" width="42.140625" style="11" customWidth="1"/>
    <col min="2582" max="2582" width="13.140625" style="11" customWidth="1"/>
    <col min="2583" max="2583" width="15.140625" style="11" customWidth="1"/>
    <col min="2584" max="2584" width="13.42578125" style="11" customWidth="1"/>
    <col min="2585" max="2585" width="18.7109375" style="11" customWidth="1"/>
    <col min="2586" max="2587" width="27.42578125" style="11" customWidth="1"/>
    <col min="2588" max="2588" width="14.42578125" style="11" customWidth="1"/>
    <col min="2589" max="2589" width="18.5703125" style="11" customWidth="1"/>
    <col min="2590" max="2590" width="16.7109375" style="11" customWidth="1"/>
    <col min="2591" max="2591" width="15.140625" style="11" customWidth="1"/>
    <col min="2592" max="2592" width="14.85546875" style="11" customWidth="1"/>
    <col min="2593" max="2593" width="12.5703125" style="11" customWidth="1"/>
    <col min="2594" max="2594" width="18.42578125" style="11" bestFit="1" customWidth="1"/>
    <col min="2595" max="2595" width="7.28515625" style="11" customWidth="1"/>
    <col min="2596" max="2820" width="9.140625" style="11"/>
    <col min="2821" max="2821" width="3.7109375" style="11" customWidth="1"/>
    <col min="2822" max="2822" width="6.5703125" style="11" customWidth="1"/>
    <col min="2823" max="2823" width="22.28515625" style="11" customWidth="1"/>
    <col min="2824" max="2824" width="26.5703125" style="11" customWidth="1"/>
    <col min="2825" max="2825" width="20" style="11" customWidth="1"/>
    <col min="2826" max="2826" width="23.42578125" style="11" customWidth="1"/>
    <col min="2827" max="2827" width="35.85546875" style="11" bestFit="1" customWidth="1"/>
    <col min="2828" max="2828" width="22.28515625" style="11" customWidth="1"/>
    <col min="2829" max="2829" width="21.140625" style="11" customWidth="1"/>
    <col min="2830" max="2830" width="23.7109375" style="11" customWidth="1"/>
    <col min="2831" max="2831" width="21.85546875" style="11" customWidth="1"/>
    <col min="2832" max="2832" width="15.42578125" style="11" customWidth="1"/>
    <col min="2833" max="2833" width="36.140625" style="11" bestFit="1" customWidth="1"/>
    <col min="2834" max="2834" width="21.28515625" style="11" customWidth="1"/>
    <col min="2835" max="2836" width="20" style="11" customWidth="1"/>
    <col min="2837" max="2837" width="42.140625" style="11" customWidth="1"/>
    <col min="2838" max="2838" width="13.140625" style="11" customWidth="1"/>
    <col min="2839" max="2839" width="15.140625" style="11" customWidth="1"/>
    <col min="2840" max="2840" width="13.42578125" style="11" customWidth="1"/>
    <col min="2841" max="2841" width="18.7109375" style="11" customWidth="1"/>
    <col min="2842" max="2843" width="27.42578125" style="11" customWidth="1"/>
    <col min="2844" max="2844" width="14.42578125" style="11" customWidth="1"/>
    <col min="2845" max="2845" width="18.5703125" style="11" customWidth="1"/>
    <col min="2846" max="2846" width="16.7109375" style="11" customWidth="1"/>
    <col min="2847" max="2847" width="15.140625" style="11" customWidth="1"/>
    <col min="2848" max="2848" width="14.85546875" style="11" customWidth="1"/>
    <col min="2849" max="2849" width="12.5703125" style="11" customWidth="1"/>
    <col min="2850" max="2850" width="18.42578125" style="11" bestFit="1" customWidth="1"/>
    <col min="2851" max="2851" width="7.28515625" style="11" customWidth="1"/>
    <col min="2852" max="3076" width="9.140625" style="11"/>
    <col min="3077" max="3077" width="3.7109375" style="11" customWidth="1"/>
    <col min="3078" max="3078" width="6.5703125" style="11" customWidth="1"/>
    <col min="3079" max="3079" width="22.28515625" style="11" customWidth="1"/>
    <col min="3080" max="3080" width="26.5703125" style="11" customWidth="1"/>
    <col min="3081" max="3081" width="20" style="11" customWidth="1"/>
    <col min="3082" max="3082" width="23.42578125" style="11" customWidth="1"/>
    <col min="3083" max="3083" width="35.85546875" style="11" bestFit="1" customWidth="1"/>
    <col min="3084" max="3084" width="22.28515625" style="11" customWidth="1"/>
    <col min="3085" max="3085" width="21.140625" style="11" customWidth="1"/>
    <col min="3086" max="3086" width="23.7109375" style="11" customWidth="1"/>
    <col min="3087" max="3087" width="21.85546875" style="11" customWidth="1"/>
    <col min="3088" max="3088" width="15.42578125" style="11" customWidth="1"/>
    <col min="3089" max="3089" width="36.140625" style="11" bestFit="1" customWidth="1"/>
    <col min="3090" max="3090" width="21.28515625" style="11" customWidth="1"/>
    <col min="3091" max="3092" width="20" style="11" customWidth="1"/>
    <col min="3093" max="3093" width="42.140625" style="11" customWidth="1"/>
    <col min="3094" max="3094" width="13.140625" style="11" customWidth="1"/>
    <col min="3095" max="3095" width="15.140625" style="11" customWidth="1"/>
    <col min="3096" max="3096" width="13.42578125" style="11" customWidth="1"/>
    <col min="3097" max="3097" width="18.7109375" style="11" customWidth="1"/>
    <col min="3098" max="3099" width="27.42578125" style="11" customWidth="1"/>
    <col min="3100" max="3100" width="14.42578125" style="11" customWidth="1"/>
    <col min="3101" max="3101" width="18.5703125" style="11" customWidth="1"/>
    <col min="3102" max="3102" width="16.7109375" style="11" customWidth="1"/>
    <col min="3103" max="3103" width="15.140625" style="11" customWidth="1"/>
    <col min="3104" max="3104" width="14.85546875" style="11" customWidth="1"/>
    <col min="3105" max="3105" width="12.5703125" style="11" customWidth="1"/>
    <col min="3106" max="3106" width="18.42578125" style="11" bestFit="1" customWidth="1"/>
    <col min="3107" max="3107" width="7.28515625" style="11" customWidth="1"/>
    <col min="3108" max="3332" width="9.140625" style="11"/>
    <col min="3333" max="3333" width="3.7109375" style="11" customWidth="1"/>
    <col min="3334" max="3334" width="6.5703125" style="11" customWidth="1"/>
    <col min="3335" max="3335" width="22.28515625" style="11" customWidth="1"/>
    <col min="3336" max="3336" width="26.5703125" style="11" customWidth="1"/>
    <col min="3337" max="3337" width="20" style="11" customWidth="1"/>
    <col min="3338" max="3338" width="23.42578125" style="11" customWidth="1"/>
    <col min="3339" max="3339" width="35.85546875" style="11" bestFit="1" customWidth="1"/>
    <col min="3340" max="3340" width="22.28515625" style="11" customWidth="1"/>
    <col min="3341" max="3341" width="21.140625" style="11" customWidth="1"/>
    <col min="3342" max="3342" width="23.7109375" style="11" customWidth="1"/>
    <col min="3343" max="3343" width="21.85546875" style="11" customWidth="1"/>
    <col min="3344" max="3344" width="15.42578125" style="11" customWidth="1"/>
    <col min="3345" max="3345" width="36.140625" style="11" bestFit="1" customWidth="1"/>
    <col min="3346" max="3346" width="21.28515625" style="11" customWidth="1"/>
    <col min="3347" max="3348" width="20" style="11" customWidth="1"/>
    <col min="3349" max="3349" width="42.140625" style="11" customWidth="1"/>
    <col min="3350" max="3350" width="13.140625" style="11" customWidth="1"/>
    <col min="3351" max="3351" width="15.140625" style="11" customWidth="1"/>
    <col min="3352" max="3352" width="13.42578125" style="11" customWidth="1"/>
    <col min="3353" max="3353" width="18.7109375" style="11" customWidth="1"/>
    <col min="3354" max="3355" width="27.42578125" style="11" customWidth="1"/>
    <col min="3356" max="3356" width="14.42578125" style="11" customWidth="1"/>
    <col min="3357" max="3357" width="18.5703125" style="11" customWidth="1"/>
    <col min="3358" max="3358" width="16.7109375" style="11" customWidth="1"/>
    <col min="3359" max="3359" width="15.140625" style="11" customWidth="1"/>
    <col min="3360" max="3360" width="14.85546875" style="11" customWidth="1"/>
    <col min="3361" max="3361" width="12.5703125" style="11" customWidth="1"/>
    <col min="3362" max="3362" width="18.42578125" style="11" bestFit="1" customWidth="1"/>
    <col min="3363" max="3363" width="7.28515625" style="11" customWidth="1"/>
    <col min="3364" max="3588" width="9.140625" style="11"/>
    <col min="3589" max="3589" width="3.7109375" style="11" customWidth="1"/>
    <col min="3590" max="3590" width="6.5703125" style="11" customWidth="1"/>
    <col min="3591" max="3591" width="22.28515625" style="11" customWidth="1"/>
    <col min="3592" max="3592" width="26.5703125" style="11" customWidth="1"/>
    <col min="3593" max="3593" width="20" style="11" customWidth="1"/>
    <col min="3594" max="3594" width="23.42578125" style="11" customWidth="1"/>
    <col min="3595" max="3595" width="35.85546875" style="11" bestFit="1" customWidth="1"/>
    <col min="3596" max="3596" width="22.28515625" style="11" customWidth="1"/>
    <col min="3597" max="3597" width="21.140625" style="11" customWidth="1"/>
    <col min="3598" max="3598" width="23.7109375" style="11" customWidth="1"/>
    <col min="3599" max="3599" width="21.85546875" style="11" customWidth="1"/>
    <col min="3600" max="3600" width="15.42578125" style="11" customWidth="1"/>
    <col min="3601" max="3601" width="36.140625" style="11" bestFit="1" customWidth="1"/>
    <col min="3602" max="3602" width="21.28515625" style="11" customWidth="1"/>
    <col min="3603" max="3604" width="20" style="11" customWidth="1"/>
    <col min="3605" max="3605" width="42.140625" style="11" customWidth="1"/>
    <col min="3606" max="3606" width="13.140625" style="11" customWidth="1"/>
    <col min="3607" max="3607" width="15.140625" style="11" customWidth="1"/>
    <col min="3608" max="3608" width="13.42578125" style="11" customWidth="1"/>
    <col min="3609" max="3609" width="18.7109375" style="11" customWidth="1"/>
    <col min="3610" max="3611" width="27.42578125" style="11" customWidth="1"/>
    <col min="3612" max="3612" width="14.42578125" style="11" customWidth="1"/>
    <col min="3613" max="3613" width="18.5703125" style="11" customWidth="1"/>
    <col min="3614" max="3614" width="16.7109375" style="11" customWidth="1"/>
    <col min="3615" max="3615" width="15.140625" style="11" customWidth="1"/>
    <col min="3616" max="3616" width="14.85546875" style="11" customWidth="1"/>
    <col min="3617" max="3617" width="12.5703125" style="11" customWidth="1"/>
    <col min="3618" max="3618" width="18.42578125" style="11" bestFit="1" customWidth="1"/>
    <col min="3619" max="3619" width="7.28515625" style="11" customWidth="1"/>
    <col min="3620" max="3844" width="9.140625" style="11"/>
    <col min="3845" max="3845" width="3.7109375" style="11" customWidth="1"/>
    <col min="3846" max="3846" width="6.5703125" style="11" customWidth="1"/>
    <col min="3847" max="3847" width="22.28515625" style="11" customWidth="1"/>
    <col min="3848" max="3848" width="26.5703125" style="11" customWidth="1"/>
    <col min="3849" max="3849" width="20" style="11" customWidth="1"/>
    <col min="3850" max="3850" width="23.42578125" style="11" customWidth="1"/>
    <col min="3851" max="3851" width="35.85546875" style="11" bestFit="1" customWidth="1"/>
    <col min="3852" max="3852" width="22.28515625" style="11" customWidth="1"/>
    <col min="3853" max="3853" width="21.140625" style="11" customWidth="1"/>
    <col min="3854" max="3854" width="23.7109375" style="11" customWidth="1"/>
    <col min="3855" max="3855" width="21.85546875" style="11" customWidth="1"/>
    <col min="3856" max="3856" width="15.42578125" style="11" customWidth="1"/>
    <col min="3857" max="3857" width="36.140625" style="11" bestFit="1" customWidth="1"/>
    <col min="3858" max="3858" width="21.28515625" style="11" customWidth="1"/>
    <col min="3859" max="3860" width="20" style="11" customWidth="1"/>
    <col min="3861" max="3861" width="42.140625" style="11" customWidth="1"/>
    <col min="3862" max="3862" width="13.140625" style="11" customWidth="1"/>
    <col min="3863" max="3863" width="15.140625" style="11" customWidth="1"/>
    <col min="3864" max="3864" width="13.42578125" style="11" customWidth="1"/>
    <col min="3865" max="3865" width="18.7109375" style="11" customWidth="1"/>
    <col min="3866" max="3867" width="27.42578125" style="11" customWidth="1"/>
    <col min="3868" max="3868" width="14.42578125" style="11" customWidth="1"/>
    <col min="3869" max="3869" width="18.5703125" style="11" customWidth="1"/>
    <col min="3870" max="3870" width="16.7109375" style="11" customWidth="1"/>
    <col min="3871" max="3871" width="15.140625" style="11" customWidth="1"/>
    <col min="3872" max="3872" width="14.85546875" style="11" customWidth="1"/>
    <col min="3873" max="3873" width="12.5703125" style="11" customWidth="1"/>
    <col min="3874" max="3874" width="18.42578125" style="11" bestFit="1" customWidth="1"/>
    <col min="3875" max="3875" width="7.28515625" style="11" customWidth="1"/>
    <col min="3876" max="4100" width="9.140625" style="11"/>
    <col min="4101" max="4101" width="3.7109375" style="11" customWidth="1"/>
    <col min="4102" max="4102" width="6.5703125" style="11" customWidth="1"/>
    <col min="4103" max="4103" width="22.28515625" style="11" customWidth="1"/>
    <col min="4104" max="4104" width="26.5703125" style="11" customWidth="1"/>
    <col min="4105" max="4105" width="20" style="11" customWidth="1"/>
    <col min="4106" max="4106" width="23.42578125" style="11" customWidth="1"/>
    <col min="4107" max="4107" width="35.85546875" style="11" bestFit="1" customWidth="1"/>
    <col min="4108" max="4108" width="22.28515625" style="11" customWidth="1"/>
    <col min="4109" max="4109" width="21.140625" style="11" customWidth="1"/>
    <col min="4110" max="4110" width="23.7109375" style="11" customWidth="1"/>
    <col min="4111" max="4111" width="21.85546875" style="11" customWidth="1"/>
    <col min="4112" max="4112" width="15.42578125" style="11" customWidth="1"/>
    <col min="4113" max="4113" width="36.140625" style="11" bestFit="1" customWidth="1"/>
    <col min="4114" max="4114" width="21.28515625" style="11" customWidth="1"/>
    <col min="4115" max="4116" width="20" style="11" customWidth="1"/>
    <col min="4117" max="4117" width="42.140625" style="11" customWidth="1"/>
    <col min="4118" max="4118" width="13.140625" style="11" customWidth="1"/>
    <col min="4119" max="4119" width="15.140625" style="11" customWidth="1"/>
    <col min="4120" max="4120" width="13.42578125" style="11" customWidth="1"/>
    <col min="4121" max="4121" width="18.7109375" style="11" customWidth="1"/>
    <col min="4122" max="4123" width="27.42578125" style="11" customWidth="1"/>
    <col min="4124" max="4124" width="14.42578125" style="11" customWidth="1"/>
    <col min="4125" max="4125" width="18.5703125" style="11" customWidth="1"/>
    <col min="4126" max="4126" width="16.7109375" style="11" customWidth="1"/>
    <col min="4127" max="4127" width="15.140625" style="11" customWidth="1"/>
    <col min="4128" max="4128" width="14.85546875" style="11" customWidth="1"/>
    <col min="4129" max="4129" width="12.5703125" style="11" customWidth="1"/>
    <col min="4130" max="4130" width="18.42578125" style="11" bestFit="1" customWidth="1"/>
    <col min="4131" max="4131" width="7.28515625" style="11" customWidth="1"/>
    <col min="4132" max="4356" width="9.140625" style="11"/>
    <col min="4357" max="4357" width="3.7109375" style="11" customWidth="1"/>
    <col min="4358" max="4358" width="6.5703125" style="11" customWidth="1"/>
    <col min="4359" max="4359" width="22.28515625" style="11" customWidth="1"/>
    <col min="4360" max="4360" width="26.5703125" style="11" customWidth="1"/>
    <col min="4361" max="4361" width="20" style="11" customWidth="1"/>
    <col min="4362" max="4362" width="23.42578125" style="11" customWidth="1"/>
    <col min="4363" max="4363" width="35.85546875" style="11" bestFit="1" customWidth="1"/>
    <col min="4364" max="4364" width="22.28515625" style="11" customWidth="1"/>
    <col min="4365" max="4365" width="21.140625" style="11" customWidth="1"/>
    <col min="4366" max="4366" width="23.7109375" style="11" customWidth="1"/>
    <col min="4367" max="4367" width="21.85546875" style="11" customWidth="1"/>
    <col min="4368" max="4368" width="15.42578125" style="11" customWidth="1"/>
    <col min="4369" max="4369" width="36.140625" style="11" bestFit="1" customWidth="1"/>
    <col min="4370" max="4370" width="21.28515625" style="11" customWidth="1"/>
    <col min="4371" max="4372" width="20" style="11" customWidth="1"/>
    <col min="4373" max="4373" width="42.140625" style="11" customWidth="1"/>
    <col min="4374" max="4374" width="13.140625" style="11" customWidth="1"/>
    <col min="4375" max="4375" width="15.140625" style="11" customWidth="1"/>
    <col min="4376" max="4376" width="13.42578125" style="11" customWidth="1"/>
    <col min="4377" max="4377" width="18.7109375" style="11" customWidth="1"/>
    <col min="4378" max="4379" width="27.42578125" style="11" customWidth="1"/>
    <col min="4380" max="4380" width="14.42578125" style="11" customWidth="1"/>
    <col min="4381" max="4381" width="18.5703125" style="11" customWidth="1"/>
    <col min="4382" max="4382" width="16.7109375" style="11" customWidth="1"/>
    <col min="4383" max="4383" width="15.140625" style="11" customWidth="1"/>
    <col min="4384" max="4384" width="14.85546875" style="11" customWidth="1"/>
    <col min="4385" max="4385" width="12.5703125" style="11" customWidth="1"/>
    <col min="4386" max="4386" width="18.42578125" style="11" bestFit="1" customWidth="1"/>
    <col min="4387" max="4387" width="7.28515625" style="11" customWidth="1"/>
    <col min="4388" max="4612" width="9.140625" style="11"/>
    <col min="4613" max="4613" width="3.7109375" style="11" customWidth="1"/>
    <col min="4614" max="4614" width="6.5703125" style="11" customWidth="1"/>
    <col min="4615" max="4615" width="22.28515625" style="11" customWidth="1"/>
    <col min="4616" max="4616" width="26.5703125" style="11" customWidth="1"/>
    <col min="4617" max="4617" width="20" style="11" customWidth="1"/>
    <col min="4618" max="4618" width="23.42578125" style="11" customWidth="1"/>
    <col min="4619" max="4619" width="35.85546875" style="11" bestFit="1" customWidth="1"/>
    <col min="4620" max="4620" width="22.28515625" style="11" customWidth="1"/>
    <col min="4621" max="4621" width="21.140625" style="11" customWidth="1"/>
    <col min="4622" max="4622" width="23.7109375" style="11" customWidth="1"/>
    <col min="4623" max="4623" width="21.85546875" style="11" customWidth="1"/>
    <col min="4624" max="4624" width="15.42578125" style="11" customWidth="1"/>
    <col min="4625" max="4625" width="36.140625" style="11" bestFit="1" customWidth="1"/>
    <col min="4626" max="4626" width="21.28515625" style="11" customWidth="1"/>
    <col min="4627" max="4628" width="20" style="11" customWidth="1"/>
    <col min="4629" max="4629" width="42.140625" style="11" customWidth="1"/>
    <col min="4630" max="4630" width="13.140625" style="11" customWidth="1"/>
    <col min="4631" max="4631" width="15.140625" style="11" customWidth="1"/>
    <col min="4632" max="4632" width="13.42578125" style="11" customWidth="1"/>
    <col min="4633" max="4633" width="18.7109375" style="11" customWidth="1"/>
    <col min="4634" max="4635" width="27.42578125" style="11" customWidth="1"/>
    <col min="4636" max="4636" width="14.42578125" style="11" customWidth="1"/>
    <col min="4637" max="4637" width="18.5703125" style="11" customWidth="1"/>
    <col min="4638" max="4638" width="16.7109375" style="11" customWidth="1"/>
    <col min="4639" max="4639" width="15.140625" style="11" customWidth="1"/>
    <col min="4640" max="4640" width="14.85546875" style="11" customWidth="1"/>
    <col min="4641" max="4641" width="12.5703125" style="11" customWidth="1"/>
    <col min="4642" max="4642" width="18.42578125" style="11" bestFit="1" customWidth="1"/>
    <col min="4643" max="4643" width="7.28515625" style="11" customWidth="1"/>
    <col min="4644" max="4868" width="9.140625" style="11"/>
    <col min="4869" max="4869" width="3.7109375" style="11" customWidth="1"/>
    <col min="4870" max="4870" width="6.5703125" style="11" customWidth="1"/>
    <col min="4871" max="4871" width="22.28515625" style="11" customWidth="1"/>
    <col min="4872" max="4872" width="26.5703125" style="11" customWidth="1"/>
    <col min="4873" max="4873" width="20" style="11" customWidth="1"/>
    <col min="4874" max="4874" width="23.42578125" style="11" customWidth="1"/>
    <col min="4875" max="4875" width="35.85546875" style="11" bestFit="1" customWidth="1"/>
    <col min="4876" max="4876" width="22.28515625" style="11" customWidth="1"/>
    <col min="4877" max="4877" width="21.140625" style="11" customWidth="1"/>
    <col min="4878" max="4878" width="23.7109375" style="11" customWidth="1"/>
    <col min="4879" max="4879" width="21.85546875" style="11" customWidth="1"/>
    <col min="4880" max="4880" width="15.42578125" style="11" customWidth="1"/>
    <col min="4881" max="4881" width="36.140625" style="11" bestFit="1" customWidth="1"/>
    <col min="4882" max="4882" width="21.28515625" style="11" customWidth="1"/>
    <col min="4883" max="4884" width="20" style="11" customWidth="1"/>
    <col min="4885" max="4885" width="42.140625" style="11" customWidth="1"/>
    <col min="4886" max="4886" width="13.140625" style="11" customWidth="1"/>
    <col min="4887" max="4887" width="15.140625" style="11" customWidth="1"/>
    <col min="4888" max="4888" width="13.42578125" style="11" customWidth="1"/>
    <col min="4889" max="4889" width="18.7109375" style="11" customWidth="1"/>
    <col min="4890" max="4891" width="27.42578125" style="11" customWidth="1"/>
    <col min="4892" max="4892" width="14.42578125" style="11" customWidth="1"/>
    <col min="4893" max="4893" width="18.5703125" style="11" customWidth="1"/>
    <col min="4894" max="4894" width="16.7109375" style="11" customWidth="1"/>
    <col min="4895" max="4895" width="15.140625" style="11" customWidth="1"/>
    <col min="4896" max="4896" width="14.85546875" style="11" customWidth="1"/>
    <col min="4897" max="4897" width="12.5703125" style="11" customWidth="1"/>
    <col min="4898" max="4898" width="18.42578125" style="11" bestFit="1" customWidth="1"/>
    <col min="4899" max="4899" width="7.28515625" style="11" customWidth="1"/>
    <col min="4900" max="5124" width="9.140625" style="11"/>
    <col min="5125" max="5125" width="3.7109375" style="11" customWidth="1"/>
    <col min="5126" max="5126" width="6.5703125" style="11" customWidth="1"/>
    <col min="5127" max="5127" width="22.28515625" style="11" customWidth="1"/>
    <col min="5128" max="5128" width="26.5703125" style="11" customWidth="1"/>
    <col min="5129" max="5129" width="20" style="11" customWidth="1"/>
    <col min="5130" max="5130" width="23.42578125" style="11" customWidth="1"/>
    <col min="5131" max="5131" width="35.85546875" style="11" bestFit="1" customWidth="1"/>
    <col min="5132" max="5132" width="22.28515625" style="11" customWidth="1"/>
    <col min="5133" max="5133" width="21.140625" style="11" customWidth="1"/>
    <col min="5134" max="5134" width="23.7109375" style="11" customWidth="1"/>
    <col min="5135" max="5135" width="21.85546875" style="11" customWidth="1"/>
    <col min="5136" max="5136" width="15.42578125" style="11" customWidth="1"/>
    <col min="5137" max="5137" width="36.140625" style="11" bestFit="1" customWidth="1"/>
    <col min="5138" max="5138" width="21.28515625" style="11" customWidth="1"/>
    <col min="5139" max="5140" width="20" style="11" customWidth="1"/>
    <col min="5141" max="5141" width="42.140625" style="11" customWidth="1"/>
    <col min="5142" max="5142" width="13.140625" style="11" customWidth="1"/>
    <col min="5143" max="5143" width="15.140625" style="11" customWidth="1"/>
    <col min="5144" max="5144" width="13.42578125" style="11" customWidth="1"/>
    <col min="5145" max="5145" width="18.7109375" style="11" customWidth="1"/>
    <col min="5146" max="5147" width="27.42578125" style="11" customWidth="1"/>
    <col min="5148" max="5148" width="14.42578125" style="11" customWidth="1"/>
    <col min="5149" max="5149" width="18.5703125" style="11" customWidth="1"/>
    <col min="5150" max="5150" width="16.7109375" style="11" customWidth="1"/>
    <col min="5151" max="5151" width="15.140625" style="11" customWidth="1"/>
    <col min="5152" max="5152" width="14.85546875" style="11" customWidth="1"/>
    <col min="5153" max="5153" width="12.5703125" style="11" customWidth="1"/>
    <col min="5154" max="5154" width="18.42578125" style="11" bestFit="1" customWidth="1"/>
    <col min="5155" max="5155" width="7.28515625" style="11" customWidth="1"/>
    <col min="5156" max="5380" width="9.140625" style="11"/>
    <col min="5381" max="5381" width="3.7109375" style="11" customWidth="1"/>
    <col min="5382" max="5382" width="6.5703125" style="11" customWidth="1"/>
    <col min="5383" max="5383" width="22.28515625" style="11" customWidth="1"/>
    <col min="5384" max="5384" width="26.5703125" style="11" customWidth="1"/>
    <col min="5385" max="5385" width="20" style="11" customWidth="1"/>
    <col min="5386" max="5386" width="23.42578125" style="11" customWidth="1"/>
    <col min="5387" max="5387" width="35.85546875" style="11" bestFit="1" customWidth="1"/>
    <col min="5388" max="5388" width="22.28515625" style="11" customWidth="1"/>
    <col min="5389" max="5389" width="21.140625" style="11" customWidth="1"/>
    <col min="5390" max="5390" width="23.7109375" style="11" customWidth="1"/>
    <col min="5391" max="5391" width="21.85546875" style="11" customWidth="1"/>
    <col min="5392" max="5392" width="15.42578125" style="11" customWidth="1"/>
    <col min="5393" max="5393" width="36.140625" style="11" bestFit="1" customWidth="1"/>
    <col min="5394" max="5394" width="21.28515625" style="11" customWidth="1"/>
    <col min="5395" max="5396" width="20" style="11" customWidth="1"/>
    <col min="5397" max="5397" width="42.140625" style="11" customWidth="1"/>
    <col min="5398" max="5398" width="13.140625" style="11" customWidth="1"/>
    <col min="5399" max="5399" width="15.140625" style="11" customWidth="1"/>
    <col min="5400" max="5400" width="13.42578125" style="11" customWidth="1"/>
    <col min="5401" max="5401" width="18.7109375" style="11" customWidth="1"/>
    <col min="5402" max="5403" width="27.42578125" style="11" customWidth="1"/>
    <col min="5404" max="5404" width="14.42578125" style="11" customWidth="1"/>
    <col min="5405" max="5405" width="18.5703125" style="11" customWidth="1"/>
    <col min="5406" max="5406" width="16.7109375" style="11" customWidth="1"/>
    <col min="5407" max="5407" width="15.140625" style="11" customWidth="1"/>
    <col min="5408" max="5408" width="14.85546875" style="11" customWidth="1"/>
    <col min="5409" max="5409" width="12.5703125" style="11" customWidth="1"/>
    <col min="5410" max="5410" width="18.42578125" style="11" bestFit="1" customWidth="1"/>
    <col min="5411" max="5411" width="7.28515625" style="11" customWidth="1"/>
    <col min="5412" max="5636" width="9.140625" style="11"/>
    <col min="5637" max="5637" width="3.7109375" style="11" customWidth="1"/>
    <col min="5638" max="5638" width="6.5703125" style="11" customWidth="1"/>
    <col min="5639" max="5639" width="22.28515625" style="11" customWidth="1"/>
    <col min="5640" max="5640" width="26.5703125" style="11" customWidth="1"/>
    <col min="5641" max="5641" width="20" style="11" customWidth="1"/>
    <col min="5642" max="5642" width="23.42578125" style="11" customWidth="1"/>
    <col min="5643" max="5643" width="35.85546875" style="11" bestFit="1" customWidth="1"/>
    <col min="5644" max="5644" width="22.28515625" style="11" customWidth="1"/>
    <col min="5645" max="5645" width="21.140625" style="11" customWidth="1"/>
    <col min="5646" max="5646" width="23.7109375" style="11" customWidth="1"/>
    <col min="5647" max="5647" width="21.85546875" style="11" customWidth="1"/>
    <col min="5648" max="5648" width="15.42578125" style="11" customWidth="1"/>
    <col min="5649" max="5649" width="36.140625" style="11" bestFit="1" customWidth="1"/>
    <col min="5650" max="5650" width="21.28515625" style="11" customWidth="1"/>
    <col min="5651" max="5652" width="20" style="11" customWidth="1"/>
    <col min="5653" max="5653" width="42.140625" style="11" customWidth="1"/>
    <col min="5654" max="5654" width="13.140625" style="11" customWidth="1"/>
    <col min="5655" max="5655" width="15.140625" style="11" customWidth="1"/>
    <col min="5656" max="5656" width="13.42578125" style="11" customWidth="1"/>
    <col min="5657" max="5657" width="18.7109375" style="11" customWidth="1"/>
    <col min="5658" max="5659" width="27.42578125" style="11" customWidth="1"/>
    <col min="5660" max="5660" width="14.42578125" style="11" customWidth="1"/>
    <col min="5661" max="5661" width="18.5703125" style="11" customWidth="1"/>
    <col min="5662" max="5662" width="16.7109375" style="11" customWidth="1"/>
    <col min="5663" max="5663" width="15.140625" style="11" customWidth="1"/>
    <col min="5664" max="5664" width="14.85546875" style="11" customWidth="1"/>
    <col min="5665" max="5665" width="12.5703125" style="11" customWidth="1"/>
    <col min="5666" max="5666" width="18.42578125" style="11" bestFit="1" customWidth="1"/>
    <col min="5667" max="5667" width="7.28515625" style="11" customWidth="1"/>
    <col min="5668" max="5892" width="9.140625" style="11"/>
    <col min="5893" max="5893" width="3.7109375" style="11" customWidth="1"/>
    <col min="5894" max="5894" width="6.5703125" style="11" customWidth="1"/>
    <col min="5895" max="5895" width="22.28515625" style="11" customWidth="1"/>
    <col min="5896" max="5896" width="26.5703125" style="11" customWidth="1"/>
    <col min="5897" max="5897" width="20" style="11" customWidth="1"/>
    <col min="5898" max="5898" width="23.42578125" style="11" customWidth="1"/>
    <col min="5899" max="5899" width="35.85546875" style="11" bestFit="1" customWidth="1"/>
    <col min="5900" max="5900" width="22.28515625" style="11" customWidth="1"/>
    <col min="5901" max="5901" width="21.140625" style="11" customWidth="1"/>
    <col min="5902" max="5902" width="23.7109375" style="11" customWidth="1"/>
    <col min="5903" max="5903" width="21.85546875" style="11" customWidth="1"/>
    <col min="5904" max="5904" width="15.42578125" style="11" customWidth="1"/>
    <col min="5905" max="5905" width="36.140625" style="11" bestFit="1" customWidth="1"/>
    <col min="5906" max="5906" width="21.28515625" style="11" customWidth="1"/>
    <col min="5907" max="5908" width="20" style="11" customWidth="1"/>
    <col min="5909" max="5909" width="42.140625" style="11" customWidth="1"/>
    <col min="5910" max="5910" width="13.140625" style="11" customWidth="1"/>
    <col min="5911" max="5911" width="15.140625" style="11" customWidth="1"/>
    <col min="5912" max="5912" width="13.42578125" style="11" customWidth="1"/>
    <col min="5913" max="5913" width="18.7109375" style="11" customWidth="1"/>
    <col min="5914" max="5915" width="27.42578125" style="11" customWidth="1"/>
    <col min="5916" max="5916" width="14.42578125" style="11" customWidth="1"/>
    <col min="5917" max="5917" width="18.5703125" style="11" customWidth="1"/>
    <col min="5918" max="5918" width="16.7109375" style="11" customWidth="1"/>
    <col min="5919" max="5919" width="15.140625" style="11" customWidth="1"/>
    <col min="5920" max="5920" width="14.85546875" style="11" customWidth="1"/>
    <col min="5921" max="5921" width="12.5703125" style="11" customWidth="1"/>
    <col min="5922" max="5922" width="18.42578125" style="11" bestFit="1" customWidth="1"/>
    <col min="5923" max="5923" width="7.28515625" style="11" customWidth="1"/>
    <col min="5924" max="6148" width="9.140625" style="11"/>
    <col min="6149" max="6149" width="3.7109375" style="11" customWidth="1"/>
    <col min="6150" max="6150" width="6.5703125" style="11" customWidth="1"/>
    <col min="6151" max="6151" width="22.28515625" style="11" customWidth="1"/>
    <col min="6152" max="6152" width="26.5703125" style="11" customWidth="1"/>
    <col min="6153" max="6153" width="20" style="11" customWidth="1"/>
    <col min="6154" max="6154" width="23.42578125" style="11" customWidth="1"/>
    <col min="6155" max="6155" width="35.85546875" style="11" bestFit="1" customWidth="1"/>
    <col min="6156" max="6156" width="22.28515625" style="11" customWidth="1"/>
    <col min="6157" max="6157" width="21.140625" style="11" customWidth="1"/>
    <col min="6158" max="6158" width="23.7109375" style="11" customWidth="1"/>
    <col min="6159" max="6159" width="21.85546875" style="11" customWidth="1"/>
    <col min="6160" max="6160" width="15.42578125" style="11" customWidth="1"/>
    <col min="6161" max="6161" width="36.140625" style="11" bestFit="1" customWidth="1"/>
    <col min="6162" max="6162" width="21.28515625" style="11" customWidth="1"/>
    <col min="6163" max="6164" width="20" style="11" customWidth="1"/>
    <col min="6165" max="6165" width="42.140625" style="11" customWidth="1"/>
    <col min="6166" max="6166" width="13.140625" style="11" customWidth="1"/>
    <col min="6167" max="6167" width="15.140625" style="11" customWidth="1"/>
    <col min="6168" max="6168" width="13.42578125" style="11" customWidth="1"/>
    <col min="6169" max="6169" width="18.7109375" style="11" customWidth="1"/>
    <col min="6170" max="6171" width="27.42578125" style="11" customWidth="1"/>
    <col min="6172" max="6172" width="14.42578125" style="11" customWidth="1"/>
    <col min="6173" max="6173" width="18.5703125" style="11" customWidth="1"/>
    <col min="6174" max="6174" width="16.7109375" style="11" customWidth="1"/>
    <col min="6175" max="6175" width="15.140625" style="11" customWidth="1"/>
    <col min="6176" max="6176" width="14.85546875" style="11" customWidth="1"/>
    <col min="6177" max="6177" width="12.5703125" style="11" customWidth="1"/>
    <col min="6178" max="6178" width="18.42578125" style="11" bestFit="1" customWidth="1"/>
    <col min="6179" max="6179" width="7.28515625" style="11" customWidth="1"/>
    <col min="6180" max="6404" width="9.140625" style="11"/>
    <col min="6405" max="6405" width="3.7109375" style="11" customWidth="1"/>
    <col min="6406" max="6406" width="6.5703125" style="11" customWidth="1"/>
    <col min="6407" max="6407" width="22.28515625" style="11" customWidth="1"/>
    <col min="6408" max="6408" width="26.5703125" style="11" customWidth="1"/>
    <col min="6409" max="6409" width="20" style="11" customWidth="1"/>
    <col min="6410" max="6410" width="23.42578125" style="11" customWidth="1"/>
    <col min="6411" max="6411" width="35.85546875" style="11" bestFit="1" customWidth="1"/>
    <col min="6412" max="6412" width="22.28515625" style="11" customWidth="1"/>
    <col min="6413" max="6413" width="21.140625" style="11" customWidth="1"/>
    <col min="6414" max="6414" width="23.7109375" style="11" customWidth="1"/>
    <col min="6415" max="6415" width="21.85546875" style="11" customWidth="1"/>
    <col min="6416" max="6416" width="15.42578125" style="11" customWidth="1"/>
    <col min="6417" max="6417" width="36.140625" style="11" bestFit="1" customWidth="1"/>
    <col min="6418" max="6418" width="21.28515625" style="11" customWidth="1"/>
    <col min="6419" max="6420" width="20" style="11" customWidth="1"/>
    <col min="6421" max="6421" width="42.140625" style="11" customWidth="1"/>
    <col min="6422" max="6422" width="13.140625" style="11" customWidth="1"/>
    <col min="6423" max="6423" width="15.140625" style="11" customWidth="1"/>
    <col min="6424" max="6424" width="13.42578125" style="11" customWidth="1"/>
    <col min="6425" max="6425" width="18.7109375" style="11" customWidth="1"/>
    <col min="6426" max="6427" width="27.42578125" style="11" customWidth="1"/>
    <col min="6428" max="6428" width="14.42578125" style="11" customWidth="1"/>
    <col min="6429" max="6429" width="18.5703125" style="11" customWidth="1"/>
    <col min="6430" max="6430" width="16.7109375" style="11" customWidth="1"/>
    <col min="6431" max="6431" width="15.140625" style="11" customWidth="1"/>
    <col min="6432" max="6432" width="14.85546875" style="11" customWidth="1"/>
    <col min="6433" max="6433" width="12.5703125" style="11" customWidth="1"/>
    <col min="6434" max="6434" width="18.42578125" style="11" bestFit="1" customWidth="1"/>
    <col min="6435" max="6435" width="7.28515625" style="11" customWidth="1"/>
    <col min="6436" max="6660" width="9.140625" style="11"/>
    <col min="6661" max="6661" width="3.7109375" style="11" customWidth="1"/>
    <col min="6662" max="6662" width="6.5703125" style="11" customWidth="1"/>
    <col min="6663" max="6663" width="22.28515625" style="11" customWidth="1"/>
    <col min="6664" max="6664" width="26.5703125" style="11" customWidth="1"/>
    <col min="6665" max="6665" width="20" style="11" customWidth="1"/>
    <col min="6666" max="6666" width="23.42578125" style="11" customWidth="1"/>
    <col min="6667" max="6667" width="35.85546875" style="11" bestFit="1" customWidth="1"/>
    <col min="6668" max="6668" width="22.28515625" style="11" customWidth="1"/>
    <col min="6669" max="6669" width="21.140625" style="11" customWidth="1"/>
    <col min="6670" max="6670" width="23.7109375" style="11" customWidth="1"/>
    <col min="6671" max="6671" width="21.85546875" style="11" customWidth="1"/>
    <col min="6672" max="6672" width="15.42578125" style="11" customWidth="1"/>
    <col min="6673" max="6673" width="36.140625" style="11" bestFit="1" customWidth="1"/>
    <col min="6674" max="6674" width="21.28515625" style="11" customWidth="1"/>
    <col min="6675" max="6676" width="20" style="11" customWidth="1"/>
    <col min="6677" max="6677" width="42.140625" style="11" customWidth="1"/>
    <col min="6678" max="6678" width="13.140625" style="11" customWidth="1"/>
    <col min="6679" max="6679" width="15.140625" style="11" customWidth="1"/>
    <col min="6680" max="6680" width="13.42578125" style="11" customWidth="1"/>
    <col min="6681" max="6681" width="18.7109375" style="11" customWidth="1"/>
    <col min="6682" max="6683" width="27.42578125" style="11" customWidth="1"/>
    <col min="6684" max="6684" width="14.42578125" style="11" customWidth="1"/>
    <col min="6685" max="6685" width="18.5703125" style="11" customWidth="1"/>
    <col min="6686" max="6686" width="16.7109375" style="11" customWidth="1"/>
    <col min="6687" max="6687" width="15.140625" style="11" customWidth="1"/>
    <col min="6688" max="6688" width="14.85546875" style="11" customWidth="1"/>
    <col min="6689" max="6689" width="12.5703125" style="11" customWidth="1"/>
    <col min="6690" max="6690" width="18.42578125" style="11" bestFit="1" customWidth="1"/>
    <col min="6691" max="6691" width="7.28515625" style="11" customWidth="1"/>
    <col min="6692" max="6916" width="9.140625" style="11"/>
    <col min="6917" max="6917" width="3.7109375" style="11" customWidth="1"/>
    <col min="6918" max="6918" width="6.5703125" style="11" customWidth="1"/>
    <col min="6919" max="6919" width="22.28515625" style="11" customWidth="1"/>
    <col min="6920" max="6920" width="26.5703125" style="11" customWidth="1"/>
    <col min="6921" max="6921" width="20" style="11" customWidth="1"/>
    <col min="6922" max="6922" width="23.42578125" style="11" customWidth="1"/>
    <col min="6923" max="6923" width="35.85546875" style="11" bestFit="1" customWidth="1"/>
    <col min="6924" max="6924" width="22.28515625" style="11" customWidth="1"/>
    <col min="6925" max="6925" width="21.140625" style="11" customWidth="1"/>
    <col min="6926" max="6926" width="23.7109375" style="11" customWidth="1"/>
    <col min="6927" max="6927" width="21.85546875" style="11" customWidth="1"/>
    <col min="6928" max="6928" width="15.42578125" style="11" customWidth="1"/>
    <col min="6929" max="6929" width="36.140625" style="11" bestFit="1" customWidth="1"/>
    <col min="6930" max="6930" width="21.28515625" style="11" customWidth="1"/>
    <col min="6931" max="6932" width="20" style="11" customWidth="1"/>
    <col min="6933" max="6933" width="42.140625" style="11" customWidth="1"/>
    <col min="6934" max="6934" width="13.140625" style="11" customWidth="1"/>
    <col min="6935" max="6935" width="15.140625" style="11" customWidth="1"/>
    <col min="6936" max="6936" width="13.42578125" style="11" customWidth="1"/>
    <col min="6937" max="6937" width="18.7109375" style="11" customWidth="1"/>
    <col min="6938" max="6939" width="27.42578125" style="11" customWidth="1"/>
    <col min="6940" max="6940" width="14.42578125" style="11" customWidth="1"/>
    <col min="6941" max="6941" width="18.5703125" style="11" customWidth="1"/>
    <col min="6942" max="6942" width="16.7109375" style="11" customWidth="1"/>
    <col min="6943" max="6943" width="15.140625" style="11" customWidth="1"/>
    <col min="6944" max="6944" width="14.85546875" style="11" customWidth="1"/>
    <col min="6945" max="6945" width="12.5703125" style="11" customWidth="1"/>
    <col min="6946" max="6946" width="18.42578125" style="11" bestFit="1" customWidth="1"/>
    <col min="6947" max="6947" width="7.28515625" style="11" customWidth="1"/>
    <col min="6948" max="7172" width="9.140625" style="11"/>
    <col min="7173" max="7173" width="3.7109375" style="11" customWidth="1"/>
    <col min="7174" max="7174" width="6.5703125" style="11" customWidth="1"/>
    <col min="7175" max="7175" width="22.28515625" style="11" customWidth="1"/>
    <col min="7176" max="7176" width="26.5703125" style="11" customWidth="1"/>
    <col min="7177" max="7177" width="20" style="11" customWidth="1"/>
    <col min="7178" max="7178" width="23.42578125" style="11" customWidth="1"/>
    <col min="7179" max="7179" width="35.85546875" style="11" bestFit="1" customWidth="1"/>
    <col min="7180" max="7180" width="22.28515625" style="11" customWidth="1"/>
    <col min="7181" max="7181" width="21.140625" style="11" customWidth="1"/>
    <col min="7182" max="7182" width="23.7109375" style="11" customWidth="1"/>
    <col min="7183" max="7183" width="21.85546875" style="11" customWidth="1"/>
    <col min="7184" max="7184" width="15.42578125" style="11" customWidth="1"/>
    <col min="7185" max="7185" width="36.140625" style="11" bestFit="1" customWidth="1"/>
    <col min="7186" max="7186" width="21.28515625" style="11" customWidth="1"/>
    <col min="7187" max="7188" width="20" style="11" customWidth="1"/>
    <col min="7189" max="7189" width="42.140625" style="11" customWidth="1"/>
    <col min="7190" max="7190" width="13.140625" style="11" customWidth="1"/>
    <col min="7191" max="7191" width="15.140625" style="11" customWidth="1"/>
    <col min="7192" max="7192" width="13.42578125" style="11" customWidth="1"/>
    <col min="7193" max="7193" width="18.7109375" style="11" customWidth="1"/>
    <col min="7194" max="7195" width="27.42578125" style="11" customWidth="1"/>
    <col min="7196" max="7196" width="14.42578125" style="11" customWidth="1"/>
    <col min="7197" max="7197" width="18.5703125" style="11" customWidth="1"/>
    <col min="7198" max="7198" width="16.7109375" style="11" customWidth="1"/>
    <col min="7199" max="7199" width="15.140625" style="11" customWidth="1"/>
    <col min="7200" max="7200" width="14.85546875" style="11" customWidth="1"/>
    <col min="7201" max="7201" width="12.5703125" style="11" customWidth="1"/>
    <col min="7202" max="7202" width="18.42578125" style="11" bestFit="1" customWidth="1"/>
    <col min="7203" max="7203" width="7.28515625" style="11" customWidth="1"/>
    <col min="7204" max="7428" width="9.140625" style="11"/>
    <col min="7429" max="7429" width="3.7109375" style="11" customWidth="1"/>
    <col min="7430" max="7430" width="6.5703125" style="11" customWidth="1"/>
    <col min="7431" max="7431" width="22.28515625" style="11" customWidth="1"/>
    <col min="7432" max="7432" width="26.5703125" style="11" customWidth="1"/>
    <col min="7433" max="7433" width="20" style="11" customWidth="1"/>
    <col min="7434" max="7434" width="23.42578125" style="11" customWidth="1"/>
    <col min="7435" max="7435" width="35.85546875" style="11" bestFit="1" customWidth="1"/>
    <col min="7436" max="7436" width="22.28515625" style="11" customWidth="1"/>
    <col min="7437" max="7437" width="21.140625" style="11" customWidth="1"/>
    <col min="7438" max="7438" width="23.7109375" style="11" customWidth="1"/>
    <col min="7439" max="7439" width="21.85546875" style="11" customWidth="1"/>
    <col min="7440" max="7440" width="15.42578125" style="11" customWidth="1"/>
    <col min="7441" max="7441" width="36.140625" style="11" bestFit="1" customWidth="1"/>
    <col min="7442" max="7442" width="21.28515625" style="11" customWidth="1"/>
    <col min="7443" max="7444" width="20" style="11" customWidth="1"/>
    <col min="7445" max="7445" width="42.140625" style="11" customWidth="1"/>
    <col min="7446" max="7446" width="13.140625" style="11" customWidth="1"/>
    <col min="7447" max="7447" width="15.140625" style="11" customWidth="1"/>
    <col min="7448" max="7448" width="13.42578125" style="11" customWidth="1"/>
    <col min="7449" max="7449" width="18.7109375" style="11" customWidth="1"/>
    <col min="7450" max="7451" width="27.42578125" style="11" customWidth="1"/>
    <col min="7452" max="7452" width="14.42578125" style="11" customWidth="1"/>
    <col min="7453" max="7453" width="18.5703125" style="11" customWidth="1"/>
    <col min="7454" max="7454" width="16.7109375" style="11" customWidth="1"/>
    <col min="7455" max="7455" width="15.140625" style="11" customWidth="1"/>
    <col min="7456" max="7456" width="14.85546875" style="11" customWidth="1"/>
    <col min="7457" max="7457" width="12.5703125" style="11" customWidth="1"/>
    <col min="7458" max="7458" width="18.42578125" style="11" bestFit="1" customWidth="1"/>
    <col min="7459" max="7459" width="7.28515625" style="11" customWidth="1"/>
    <col min="7460" max="7684" width="9.140625" style="11"/>
    <col min="7685" max="7685" width="3.7109375" style="11" customWidth="1"/>
    <col min="7686" max="7686" width="6.5703125" style="11" customWidth="1"/>
    <col min="7687" max="7687" width="22.28515625" style="11" customWidth="1"/>
    <col min="7688" max="7688" width="26.5703125" style="11" customWidth="1"/>
    <col min="7689" max="7689" width="20" style="11" customWidth="1"/>
    <col min="7690" max="7690" width="23.42578125" style="11" customWidth="1"/>
    <col min="7691" max="7691" width="35.85546875" style="11" bestFit="1" customWidth="1"/>
    <col min="7692" max="7692" width="22.28515625" style="11" customWidth="1"/>
    <col min="7693" max="7693" width="21.140625" style="11" customWidth="1"/>
    <col min="7694" max="7694" width="23.7109375" style="11" customWidth="1"/>
    <col min="7695" max="7695" width="21.85546875" style="11" customWidth="1"/>
    <col min="7696" max="7696" width="15.42578125" style="11" customWidth="1"/>
    <col min="7697" max="7697" width="36.140625" style="11" bestFit="1" customWidth="1"/>
    <col min="7698" max="7698" width="21.28515625" style="11" customWidth="1"/>
    <col min="7699" max="7700" width="20" style="11" customWidth="1"/>
    <col min="7701" max="7701" width="42.140625" style="11" customWidth="1"/>
    <col min="7702" max="7702" width="13.140625" style="11" customWidth="1"/>
    <col min="7703" max="7703" width="15.140625" style="11" customWidth="1"/>
    <col min="7704" max="7704" width="13.42578125" style="11" customWidth="1"/>
    <col min="7705" max="7705" width="18.7109375" style="11" customWidth="1"/>
    <col min="7706" max="7707" width="27.42578125" style="11" customWidth="1"/>
    <col min="7708" max="7708" width="14.42578125" style="11" customWidth="1"/>
    <col min="7709" max="7709" width="18.5703125" style="11" customWidth="1"/>
    <col min="7710" max="7710" width="16.7109375" style="11" customWidth="1"/>
    <col min="7711" max="7711" width="15.140625" style="11" customWidth="1"/>
    <col min="7712" max="7712" width="14.85546875" style="11" customWidth="1"/>
    <col min="7713" max="7713" width="12.5703125" style="11" customWidth="1"/>
    <col min="7714" max="7714" width="18.42578125" style="11" bestFit="1" customWidth="1"/>
    <col min="7715" max="7715" width="7.28515625" style="11" customWidth="1"/>
    <col min="7716" max="7940" width="9.140625" style="11"/>
    <col min="7941" max="7941" width="3.7109375" style="11" customWidth="1"/>
    <col min="7942" max="7942" width="6.5703125" style="11" customWidth="1"/>
    <col min="7943" max="7943" width="22.28515625" style="11" customWidth="1"/>
    <col min="7944" max="7944" width="26.5703125" style="11" customWidth="1"/>
    <col min="7945" max="7945" width="20" style="11" customWidth="1"/>
    <col min="7946" max="7946" width="23.42578125" style="11" customWidth="1"/>
    <col min="7947" max="7947" width="35.85546875" style="11" bestFit="1" customWidth="1"/>
    <col min="7948" max="7948" width="22.28515625" style="11" customWidth="1"/>
    <col min="7949" max="7949" width="21.140625" style="11" customWidth="1"/>
    <col min="7950" max="7950" width="23.7109375" style="11" customWidth="1"/>
    <col min="7951" max="7951" width="21.85546875" style="11" customWidth="1"/>
    <col min="7952" max="7952" width="15.42578125" style="11" customWidth="1"/>
    <col min="7953" max="7953" width="36.140625" style="11" bestFit="1" customWidth="1"/>
    <col min="7954" max="7954" width="21.28515625" style="11" customWidth="1"/>
    <col min="7955" max="7956" width="20" style="11" customWidth="1"/>
    <col min="7957" max="7957" width="42.140625" style="11" customWidth="1"/>
    <col min="7958" max="7958" width="13.140625" style="11" customWidth="1"/>
    <col min="7959" max="7959" width="15.140625" style="11" customWidth="1"/>
    <col min="7960" max="7960" width="13.42578125" style="11" customWidth="1"/>
    <col min="7961" max="7961" width="18.7109375" style="11" customWidth="1"/>
    <col min="7962" max="7963" width="27.42578125" style="11" customWidth="1"/>
    <col min="7964" max="7964" width="14.42578125" style="11" customWidth="1"/>
    <col min="7965" max="7965" width="18.5703125" style="11" customWidth="1"/>
    <col min="7966" max="7966" width="16.7109375" style="11" customWidth="1"/>
    <col min="7967" max="7967" width="15.140625" style="11" customWidth="1"/>
    <col min="7968" max="7968" width="14.85546875" style="11" customWidth="1"/>
    <col min="7969" max="7969" width="12.5703125" style="11" customWidth="1"/>
    <col min="7970" max="7970" width="18.42578125" style="11" bestFit="1" customWidth="1"/>
    <col min="7971" max="7971" width="7.28515625" style="11" customWidth="1"/>
    <col min="7972" max="8196" width="9.140625" style="11"/>
    <col min="8197" max="8197" width="3.7109375" style="11" customWidth="1"/>
    <col min="8198" max="8198" width="6.5703125" style="11" customWidth="1"/>
    <col min="8199" max="8199" width="22.28515625" style="11" customWidth="1"/>
    <col min="8200" max="8200" width="26.5703125" style="11" customWidth="1"/>
    <col min="8201" max="8201" width="20" style="11" customWidth="1"/>
    <col min="8202" max="8202" width="23.42578125" style="11" customWidth="1"/>
    <col min="8203" max="8203" width="35.85546875" style="11" bestFit="1" customWidth="1"/>
    <col min="8204" max="8204" width="22.28515625" style="11" customWidth="1"/>
    <col min="8205" max="8205" width="21.140625" style="11" customWidth="1"/>
    <col min="8206" max="8206" width="23.7109375" style="11" customWidth="1"/>
    <col min="8207" max="8207" width="21.85546875" style="11" customWidth="1"/>
    <col min="8208" max="8208" width="15.42578125" style="11" customWidth="1"/>
    <col min="8209" max="8209" width="36.140625" style="11" bestFit="1" customWidth="1"/>
    <col min="8210" max="8210" width="21.28515625" style="11" customWidth="1"/>
    <col min="8211" max="8212" width="20" style="11" customWidth="1"/>
    <col min="8213" max="8213" width="42.140625" style="11" customWidth="1"/>
    <col min="8214" max="8214" width="13.140625" style="11" customWidth="1"/>
    <col min="8215" max="8215" width="15.140625" style="11" customWidth="1"/>
    <col min="8216" max="8216" width="13.42578125" style="11" customWidth="1"/>
    <col min="8217" max="8217" width="18.7109375" style="11" customWidth="1"/>
    <col min="8218" max="8219" width="27.42578125" style="11" customWidth="1"/>
    <col min="8220" max="8220" width="14.42578125" style="11" customWidth="1"/>
    <col min="8221" max="8221" width="18.5703125" style="11" customWidth="1"/>
    <col min="8222" max="8222" width="16.7109375" style="11" customWidth="1"/>
    <col min="8223" max="8223" width="15.140625" style="11" customWidth="1"/>
    <col min="8224" max="8224" width="14.85546875" style="11" customWidth="1"/>
    <col min="8225" max="8225" width="12.5703125" style="11" customWidth="1"/>
    <col min="8226" max="8226" width="18.42578125" style="11" bestFit="1" customWidth="1"/>
    <col min="8227" max="8227" width="7.28515625" style="11" customWidth="1"/>
    <col min="8228" max="8452" width="9.140625" style="11"/>
    <col min="8453" max="8453" width="3.7109375" style="11" customWidth="1"/>
    <col min="8454" max="8454" width="6.5703125" style="11" customWidth="1"/>
    <col min="8455" max="8455" width="22.28515625" style="11" customWidth="1"/>
    <col min="8456" max="8456" width="26.5703125" style="11" customWidth="1"/>
    <col min="8457" max="8457" width="20" style="11" customWidth="1"/>
    <col min="8458" max="8458" width="23.42578125" style="11" customWidth="1"/>
    <col min="8459" max="8459" width="35.85546875" style="11" bestFit="1" customWidth="1"/>
    <col min="8460" max="8460" width="22.28515625" style="11" customWidth="1"/>
    <col min="8461" max="8461" width="21.140625" style="11" customWidth="1"/>
    <col min="8462" max="8462" width="23.7109375" style="11" customWidth="1"/>
    <col min="8463" max="8463" width="21.85546875" style="11" customWidth="1"/>
    <col min="8464" max="8464" width="15.42578125" style="11" customWidth="1"/>
    <col min="8465" max="8465" width="36.140625" style="11" bestFit="1" customWidth="1"/>
    <col min="8466" max="8466" width="21.28515625" style="11" customWidth="1"/>
    <col min="8467" max="8468" width="20" style="11" customWidth="1"/>
    <col min="8469" max="8469" width="42.140625" style="11" customWidth="1"/>
    <col min="8470" max="8470" width="13.140625" style="11" customWidth="1"/>
    <col min="8471" max="8471" width="15.140625" style="11" customWidth="1"/>
    <col min="8472" max="8472" width="13.42578125" style="11" customWidth="1"/>
    <col min="8473" max="8473" width="18.7109375" style="11" customWidth="1"/>
    <col min="8474" max="8475" width="27.42578125" style="11" customWidth="1"/>
    <col min="8476" max="8476" width="14.42578125" style="11" customWidth="1"/>
    <col min="8477" max="8477" width="18.5703125" style="11" customWidth="1"/>
    <col min="8478" max="8478" width="16.7109375" style="11" customWidth="1"/>
    <col min="8479" max="8479" width="15.140625" style="11" customWidth="1"/>
    <col min="8480" max="8480" width="14.85546875" style="11" customWidth="1"/>
    <col min="8481" max="8481" width="12.5703125" style="11" customWidth="1"/>
    <col min="8482" max="8482" width="18.42578125" style="11" bestFit="1" customWidth="1"/>
    <col min="8483" max="8483" width="7.28515625" style="11" customWidth="1"/>
    <col min="8484" max="8708" width="9.140625" style="11"/>
    <col min="8709" max="8709" width="3.7109375" style="11" customWidth="1"/>
    <col min="8710" max="8710" width="6.5703125" style="11" customWidth="1"/>
    <col min="8711" max="8711" width="22.28515625" style="11" customWidth="1"/>
    <col min="8712" max="8712" width="26.5703125" style="11" customWidth="1"/>
    <col min="8713" max="8713" width="20" style="11" customWidth="1"/>
    <col min="8714" max="8714" width="23.42578125" style="11" customWidth="1"/>
    <col min="8715" max="8715" width="35.85546875" style="11" bestFit="1" customWidth="1"/>
    <col min="8716" max="8716" width="22.28515625" style="11" customWidth="1"/>
    <col min="8717" max="8717" width="21.140625" style="11" customWidth="1"/>
    <col min="8718" max="8718" width="23.7109375" style="11" customWidth="1"/>
    <col min="8719" max="8719" width="21.85546875" style="11" customWidth="1"/>
    <col min="8720" max="8720" width="15.42578125" style="11" customWidth="1"/>
    <col min="8721" max="8721" width="36.140625" style="11" bestFit="1" customWidth="1"/>
    <col min="8722" max="8722" width="21.28515625" style="11" customWidth="1"/>
    <col min="8723" max="8724" width="20" style="11" customWidth="1"/>
    <col min="8725" max="8725" width="42.140625" style="11" customWidth="1"/>
    <col min="8726" max="8726" width="13.140625" style="11" customWidth="1"/>
    <col min="8727" max="8727" width="15.140625" style="11" customWidth="1"/>
    <col min="8728" max="8728" width="13.42578125" style="11" customWidth="1"/>
    <col min="8729" max="8729" width="18.7109375" style="11" customWidth="1"/>
    <col min="8730" max="8731" width="27.42578125" style="11" customWidth="1"/>
    <col min="8732" max="8732" width="14.42578125" style="11" customWidth="1"/>
    <col min="8733" max="8733" width="18.5703125" style="11" customWidth="1"/>
    <col min="8734" max="8734" width="16.7109375" style="11" customWidth="1"/>
    <col min="8735" max="8735" width="15.140625" style="11" customWidth="1"/>
    <col min="8736" max="8736" width="14.85546875" style="11" customWidth="1"/>
    <col min="8737" max="8737" width="12.5703125" style="11" customWidth="1"/>
    <col min="8738" max="8738" width="18.42578125" style="11" bestFit="1" customWidth="1"/>
    <col min="8739" max="8739" width="7.28515625" style="11" customWidth="1"/>
    <col min="8740" max="8964" width="9.140625" style="11"/>
    <col min="8965" max="8965" width="3.7109375" style="11" customWidth="1"/>
    <col min="8966" max="8966" width="6.5703125" style="11" customWidth="1"/>
    <col min="8967" max="8967" width="22.28515625" style="11" customWidth="1"/>
    <col min="8968" max="8968" width="26.5703125" style="11" customWidth="1"/>
    <col min="8969" max="8969" width="20" style="11" customWidth="1"/>
    <col min="8970" max="8970" width="23.42578125" style="11" customWidth="1"/>
    <col min="8971" max="8971" width="35.85546875" style="11" bestFit="1" customWidth="1"/>
    <col min="8972" max="8972" width="22.28515625" style="11" customWidth="1"/>
    <col min="8973" max="8973" width="21.140625" style="11" customWidth="1"/>
    <col min="8974" max="8974" width="23.7109375" style="11" customWidth="1"/>
    <col min="8975" max="8975" width="21.85546875" style="11" customWidth="1"/>
    <col min="8976" max="8976" width="15.42578125" style="11" customWidth="1"/>
    <col min="8977" max="8977" width="36.140625" style="11" bestFit="1" customWidth="1"/>
    <col min="8978" max="8978" width="21.28515625" style="11" customWidth="1"/>
    <col min="8979" max="8980" width="20" style="11" customWidth="1"/>
    <col min="8981" max="8981" width="42.140625" style="11" customWidth="1"/>
    <col min="8982" max="8982" width="13.140625" style="11" customWidth="1"/>
    <col min="8983" max="8983" width="15.140625" style="11" customWidth="1"/>
    <col min="8984" max="8984" width="13.42578125" style="11" customWidth="1"/>
    <col min="8985" max="8985" width="18.7109375" style="11" customWidth="1"/>
    <col min="8986" max="8987" width="27.42578125" style="11" customWidth="1"/>
    <col min="8988" max="8988" width="14.42578125" style="11" customWidth="1"/>
    <col min="8989" max="8989" width="18.5703125" style="11" customWidth="1"/>
    <col min="8990" max="8990" width="16.7109375" style="11" customWidth="1"/>
    <col min="8991" max="8991" width="15.140625" style="11" customWidth="1"/>
    <col min="8992" max="8992" width="14.85546875" style="11" customWidth="1"/>
    <col min="8993" max="8993" width="12.5703125" style="11" customWidth="1"/>
    <col min="8994" max="8994" width="18.42578125" style="11" bestFit="1" customWidth="1"/>
    <col min="8995" max="8995" width="7.28515625" style="11" customWidth="1"/>
    <col min="8996" max="9220" width="9.140625" style="11"/>
    <col min="9221" max="9221" width="3.7109375" style="11" customWidth="1"/>
    <col min="9222" max="9222" width="6.5703125" style="11" customWidth="1"/>
    <col min="9223" max="9223" width="22.28515625" style="11" customWidth="1"/>
    <col min="9224" max="9224" width="26.5703125" style="11" customWidth="1"/>
    <col min="9225" max="9225" width="20" style="11" customWidth="1"/>
    <col min="9226" max="9226" width="23.42578125" style="11" customWidth="1"/>
    <col min="9227" max="9227" width="35.85546875" style="11" bestFit="1" customWidth="1"/>
    <col min="9228" max="9228" width="22.28515625" style="11" customWidth="1"/>
    <col min="9229" max="9229" width="21.140625" style="11" customWidth="1"/>
    <col min="9230" max="9230" width="23.7109375" style="11" customWidth="1"/>
    <col min="9231" max="9231" width="21.85546875" style="11" customWidth="1"/>
    <col min="9232" max="9232" width="15.42578125" style="11" customWidth="1"/>
    <col min="9233" max="9233" width="36.140625" style="11" bestFit="1" customWidth="1"/>
    <col min="9234" max="9234" width="21.28515625" style="11" customWidth="1"/>
    <col min="9235" max="9236" width="20" style="11" customWidth="1"/>
    <col min="9237" max="9237" width="42.140625" style="11" customWidth="1"/>
    <col min="9238" max="9238" width="13.140625" style="11" customWidth="1"/>
    <col min="9239" max="9239" width="15.140625" style="11" customWidth="1"/>
    <col min="9240" max="9240" width="13.42578125" style="11" customWidth="1"/>
    <col min="9241" max="9241" width="18.7109375" style="11" customWidth="1"/>
    <col min="9242" max="9243" width="27.42578125" style="11" customWidth="1"/>
    <col min="9244" max="9244" width="14.42578125" style="11" customWidth="1"/>
    <col min="9245" max="9245" width="18.5703125" style="11" customWidth="1"/>
    <col min="9246" max="9246" width="16.7109375" style="11" customWidth="1"/>
    <col min="9247" max="9247" width="15.140625" style="11" customWidth="1"/>
    <col min="9248" max="9248" width="14.85546875" style="11" customWidth="1"/>
    <col min="9249" max="9249" width="12.5703125" style="11" customWidth="1"/>
    <col min="9250" max="9250" width="18.42578125" style="11" bestFit="1" customWidth="1"/>
    <col min="9251" max="9251" width="7.28515625" style="11" customWidth="1"/>
    <col min="9252" max="9476" width="9.140625" style="11"/>
    <col min="9477" max="9477" width="3.7109375" style="11" customWidth="1"/>
    <col min="9478" max="9478" width="6.5703125" style="11" customWidth="1"/>
    <col min="9479" max="9479" width="22.28515625" style="11" customWidth="1"/>
    <col min="9480" max="9480" width="26.5703125" style="11" customWidth="1"/>
    <col min="9481" max="9481" width="20" style="11" customWidth="1"/>
    <col min="9482" max="9482" width="23.42578125" style="11" customWidth="1"/>
    <col min="9483" max="9483" width="35.85546875" style="11" bestFit="1" customWidth="1"/>
    <col min="9484" max="9484" width="22.28515625" style="11" customWidth="1"/>
    <col min="9485" max="9485" width="21.140625" style="11" customWidth="1"/>
    <col min="9486" max="9486" width="23.7109375" style="11" customWidth="1"/>
    <col min="9487" max="9487" width="21.85546875" style="11" customWidth="1"/>
    <col min="9488" max="9488" width="15.42578125" style="11" customWidth="1"/>
    <col min="9489" max="9489" width="36.140625" style="11" bestFit="1" customWidth="1"/>
    <col min="9490" max="9490" width="21.28515625" style="11" customWidth="1"/>
    <col min="9491" max="9492" width="20" style="11" customWidth="1"/>
    <col min="9493" max="9493" width="42.140625" style="11" customWidth="1"/>
    <col min="9494" max="9494" width="13.140625" style="11" customWidth="1"/>
    <col min="9495" max="9495" width="15.140625" style="11" customWidth="1"/>
    <col min="9496" max="9496" width="13.42578125" style="11" customWidth="1"/>
    <col min="9497" max="9497" width="18.7109375" style="11" customWidth="1"/>
    <col min="9498" max="9499" width="27.42578125" style="11" customWidth="1"/>
    <col min="9500" max="9500" width="14.42578125" style="11" customWidth="1"/>
    <col min="9501" max="9501" width="18.5703125" style="11" customWidth="1"/>
    <col min="9502" max="9502" width="16.7109375" style="11" customWidth="1"/>
    <col min="9503" max="9503" width="15.140625" style="11" customWidth="1"/>
    <col min="9504" max="9504" width="14.85546875" style="11" customWidth="1"/>
    <col min="9505" max="9505" width="12.5703125" style="11" customWidth="1"/>
    <col min="9506" max="9506" width="18.42578125" style="11" bestFit="1" customWidth="1"/>
    <col min="9507" max="9507" width="7.28515625" style="11" customWidth="1"/>
    <col min="9508" max="9732" width="9.140625" style="11"/>
    <col min="9733" max="9733" width="3.7109375" style="11" customWidth="1"/>
    <col min="9734" max="9734" width="6.5703125" style="11" customWidth="1"/>
    <col min="9735" max="9735" width="22.28515625" style="11" customWidth="1"/>
    <col min="9736" max="9736" width="26.5703125" style="11" customWidth="1"/>
    <col min="9737" max="9737" width="20" style="11" customWidth="1"/>
    <col min="9738" max="9738" width="23.42578125" style="11" customWidth="1"/>
    <col min="9739" max="9739" width="35.85546875" style="11" bestFit="1" customWidth="1"/>
    <col min="9740" max="9740" width="22.28515625" style="11" customWidth="1"/>
    <col min="9741" max="9741" width="21.140625" style="11" customWidth="1"/>
    <col min="9742" max="9742" width="23.7109375" style="11" customWidth="1"/>
    <col min="9743" max="9743" width="21.85546875" style="11" customWidth="1"/>
    <col min="9744" max="9744" width="15.42578125" style="11" customWidth="1"/>
    <col min="9745" max="9745" width="36.140625" style="11" bestFit="1" customWidth="1"/>
    <col min="9746" max="9746" width="21.28515625" style="11" customWidth="1"/>
    <col min="9747" max="9748" width="20" style="11" customWidth="1"/>
    <col min="9749" max="9749" width="42.140625" style="11" customWidth="1"/>
    <col min="9750" max="9750" width="13.140625" style="11" customWidth="1"/>
    <col min="9751" max="9751" width="15.140625" style="11" customWidth="1"/>
    <col min="9752" max="9752" width="13.42578125" style="11" customWidth="1"/>
    <col min="9753" max="9753" width="18.7109375" style="11" customWidth="1"/>
    <col min="9754" max="9755" width="27.42578125" style="11" customWidth="1"/>
    <col min="9756" max="9756" width="14.42578125" style="11" customWidth="1"/>
    <col min="9757" max="9757" width="18.5703125" style="11" customWidth="1"/>
    <col min="9758" max="9758" width="16.7109375" style="11" customWidth="1"/>
    <col min="9759" max="9759" width="15.140625" style="11" customWidth="1"/>
    <col min="9760" max="9760" width="14.85546875" style="11" customWidth="1"/>
    <col min="9761" max="9761" width="12.5703125" style="11" customWidth="1"/>
    <col min="9762" max="9762" width="18.42578125" style="11" bestFit="1" customWidth="1"/>
    <col min="9763" max="9763" width="7.28515625" style="11" customWidth="1"/>
    <col min="9764" max="9988" width="9.140625" style="11"/>
    <col min="9989" max="9989" width="3.7109375" style="11" customWidth="1"/>
    <col min="9990" max="9990" width="6.5703125" style="11" customWidth="1"/>
    <col min="9991" max="9991" width="22.28515625" style="11" customWidth="1"/>
    <col min="9992" max="9992" width="26.5703125" style="11" customWidth="1"/>
    <col min="9993" max="9993" width="20" style="11" customWidth="1"/>
    <col min="9994" max="9994" width="23.42578125" style="11" customWidth="1"/>
    <col min="9995" max="9995" width="35.85546875" style="11" bestFit="1" customWidth="1"/>
    <col min="9996" max="9996" width="22.28515625" style="11" customWidth="1"/>
    <col min="9997" max="9997" width="21.140625" style="11" customWidth="1"/>
    <col min="9998" max="9998" width="23.7109375" style="11" customWidth="1"/>
    <col min="9999" max="9999" width="21.85546875" style="11" customWidth="1"/>
    <col min="10000" max="10000" width="15.42578125" style="11" customWidth="1"/>
    <col min="10001" max="10001" width="36.140625" style="11" bestFit="1" customWidth="1"/>
    <col min="10002" max="10002" width="21.28515625" style="11" customWidth="1"/>
    <col min="10003" max="10004" width="20" style="11" customWidth="1"/>
    <col min="10005" max="10005" width="42.140625" style="11" customWidth="1"/>
    <col min="10006" max="10006" width="13.140625" style="11" customWidth="1"/>
    <col min="10007" max="10007" width="15.140625" style="11" customWidth="1"/>
    <col min="10008" max="10008" width="13.42578125" style="11" customWidth="1"/>
    <col min="10009" max="10009" width="18.7109375" style="11" customWidth="1"/>
    <col min="10010" max="10011" width="27.42578125" style="11" customWidth="1"/>
    <col min="10012" max="10012" width="14.42578125" style="11" customWidth="1"/>
    <col min="10013" max="10013" width="18.5703125" style="11" customWidth="1"/>
    <col min="10014" max="10014" width="16.7109375" style="11" customWidth="1"/>
    <col min="10015" max="10015" width="15.140625" style="11" customWidth="1"/>
    <col min="10016" max="10016" width="14.85546875" style="11" customWidth="1"/>
    <col min="10017" max="10017" width="12.5703125" style="11" customWidth="1"/>
    <col min="10018" max="10018" width="18.42578125" style="11" bestFit="1" customWidth="1"/>
    <col min="10019" max="10019" width="7.28515625" style="11" customWidth="1"/>
    <col min="10020" max="10244" width="9.140625" style="11"/>
    <col min="10245" max="10245" width="3.7109375" style="11" customWidth="1"/>
    <col min="10246" max="10246" width="6.5703125" style="11" customWidth="1"/>
    <col min="10247" max="10247" width="22.28515625" style="11" customWidth="1"/>
    <col min="10248" max="10248" width="26.5703125" style="11" customWidth="1"/>
    <col min="10249" max="10249" width="20" style="11" customWidth="1"/>
    <col min="10250" max="10250" width="23.42578125" style="11" customWidth="1"/>
    <col min="10251" max="10251" width="35.85546875" style="11" bestFit="1" customWidth="1"/>
    <col min="10252" max="10252" width="22.28515625" style="11" customWidth="1"/>
    <col min="10253" max="10253" width="21.140625" style="11" customWidth="1"/>
    <col min="10254" max="10254" width="23.7109375" style="11" customWidth="1"/>
    <col min="10255" max="10255" width="21.85546875" style="11" customWidth="1"/>
    <col min="10256" max="10256" width="15.42578125" style="11" customWidth="1"/>
    <col min="10257" max="10257" width="36.140625" style="11" bestFit="1" customWidth="1"/>
    <col min="10258" max="10258" width="21.28515625" style="11" customWidth="1"/>
    <col min="10259" max="10260" width="20" style="11" customWidth="1"/>
    <col min="10261" max="10261" width="42.140625" style="11" customWidth="1"/>
    <col min="10262" max="10262" width="13.140625" style="11" customWidth="1"/>
    <col min="10263" max="10263" width="15.140625" style="11" customWidth="1"/>
    <col min="10264" max="10264" width="13.42578125" style="11" customWidth="1"/>
    <col min="10265" max="10265" width="18.7109375" style="11" customWidth="1"/>
    <col min="10266" max="10267" width="27.42578125" style="11" customWidth="1"/>
    <col min="10268" max="10268" width="14.42578125" style="11" customWidth="1"/>
    <col min="10269" max="10269" width="18.5703125" style="11" customWidth="1"/>
    <col min="10270" max="10270" width="16.7109375" style="11" customWidth="1"/>
    <col min="10271" max="10271" width="15.140625" style="11" customWidth="1"/>
    <col min="10272" max="10272" width="14.85546875" style="11" customWidth="1"/>
    <col min="10273" max="10273" width="12.5703125" style="11" customWidth="1"/>
    <col min="10274" max="10274" width="18.42578125" style="11" bestFit="1" customWidth="1"/>
    <col min="10275" max="10275" width="7.28515625" style="11" customWidth="1"/>
    <col min="10276" max="10500" width="9.140625" style="11"/>
    <col min="10501" max="10501" width="3.7109375" style="11" customWidth="1"/>
    <col min="10502" max="10502" width="6.5703125" style="11" customWidth="1"/>
    <col min="10503" max="10503" width="22.28515625" style="11" customWidth="1"/>
    <col min="10504" max="10504" width="26.5703125" style="11" customWidth="1"/>
    <col min="10505" max="10505" width="20" style="11" customWidth="1"/>
    <col min="10506" max="10506" width="23.42578125" style="11" customWidth="1"/>
    <col min="10507" max="10507" width="35.85546875" style="11" bestFit="1" customWidth="1"/>
    <col min="10508" max="10508" width="22.28515625" style="11" customWidth="1"/>
    <col min="10509" max="10509" width="21.140625" style="11" customWidth="1"/>
    <col min="10510" max="10510" width="23.7109375" style="11" customWidth="1"/>
    <col min="10511" max="10511" width="21.85546875" style="11" customWidth="1"/>
    <col min="10512" max="10512" width="15.42578125" style="11" customWidth="1"/>
    <col min="10513" max="10513" width="36.140625" style="11" bestFit="1" customWidth="1"/>
    <col min="10514" max="10514" width="21.28515625" style="11" customWidth="1"/>
    <col min="10515" max="10516" width="20" style="11" customWidth="1"/>
    <col min="10517" max="10517" width="42.140625" style="11" customWidth="1"/>
    <col min="10518" max="10518" width="13.140625" style="11" customWidth="1"/>
    <col min="10519" max="10519" width="15.140625" style="11" customWidth="1"/>
    <col min="10520" max="10520" width="13.42578125" style="11" customWidth="1"/>
    <col min="10521" max="10521" width="18.7109375" style="11" customWidth="1"/>
    <col min="10522" max="10523" width="27.42578125" style="11" customWidth="1"/>
    <col min="10524" max="10524" width="14.42578125" style="11" customWidth="1"/>
    <col min="10525" max="10525" width="18.5703125" style="11" customWidth="1"/>
    <col min="10526" max="10526" width="16.7109375" style="11" customWidth="1"/>
    <col min="10527" max="10527" width="15.140625" style="11" customWidth="1"/>
    <col min="10528" max="10528" width="14.85546875" style="11" customWidth="1"/>
    <col min="10529" max="10529" width="12.5703125" style="11" customWidth="1"/>
    <col min="10530" max="10530" width="18.42578125" style="11" bestFit="1" customWidth="1"/>
    <col min="10531" max="10531" width="7.28515625" style="11" customWidth="1"/>
    <col min="10532" max="10756" width="9.140625" style="11"/>
    <col min="10757" max="10757" width="3.7109375" style="11" customWidth="1"/>
    <col min="10758" max="10758" width="6.5703125" style="11" customWidth="1"/>
    <col min="10759" max="10759" width="22.28515625" style="11" customWidth="1"/>
    <col min="10760" max="10760" width="26.5703125" style="11" customWidth="1"/>
    <col min="10761" max="10761" width="20" style="11" customWidth="1"/>
    <col min="10762" max="10762" width="23.42578125" style="11" customWidth="1"/>
    <col min="10763" max="10763" width="35.85546875" style="11" bestFit="1" customWidth="1"/>
    <col min="10764" max="10764" width="22.28515625" style="11" customWidth="1"/>
    <col min="10765" max="10765" width="21.140625" style="11" customWidth="1"/>
    <col min="10766" max="10766" width="23.7109375" style="11" customWidth="1"/>
    <col min="10767" max="10767" width="21.85546875" style="11" customWidth="1"/>
    <col min="10768" max="10768" width="15.42578125" style="11" customWidth="1"/>
    <col min="10769" max="10769" width="36.140625" style="11" bestFit="1" customWidth="1"/>
    <col min="10770" max="10770" width="21.28515625" style="11" customWidth="1"/>
    <col min="10771" max="10772" width="20" style="11" customWidth="1"/>
    <col min="10773" max="10773" width="42.140625" style="11" customWidth="1"/>
    <col min="10774" max="10774" width="13.140625" style="11" customWidth="1"/>
    <col min="10775" max="10775" width="15.140625" style="11" customWidth="1"/>
    <col min="10776" max="10776" width="13.42578125" style="11" customWidth="1"/>
    <col min="10777" max="10777" width="18.7109375" style="11" customWidth="1"/>
    <col min="10778" max="10779" width="27.42578125" style="11" customWidth="1"/>
    <col min="10780" max="10780" width="14.42578125" style="11" customWidth="1"/>
    <col min="10781" max="10781" width="18.5703125" style="11" customWidth="1"/>
    <col min="10782" max="10782" width="16.7109375" style="11" customWidth="1"/>
    <col min="10783" max="10783" width="15.140625" style="11" customWidth="1"/>
    <col min="10784" max="10784" width="14.85546875" style="11" customWidth="1"/>
    <col min="10785" max="10785" width="12.5703125" style="11" customWidth="1"/>
    <col min="10786" max="10786" width="18.42578125" style="11" bestFit="1" customWidth="1"/>
    <col min="10787" max="10787" width="7.28515625" style="11" customWidth="1"/>
    <col min="10788" max="11012" width="9.140625" style="11"/>
    <col min="11013" max="11013" width="3.7109375" style="11" customWidth="1"/>
    <col min="11014" max="11014" width="6.5703125" style="11" customWidth="1"/>
    <col min="11015" max="11015" width="22.28515625" style="11" customWidth="1"/>
    <col min="11016" max="11016" width="26.5703125" style="11" customWidth="1"/>
    <col min="11017" max="11017" width="20" style="11" customWidth="1"/>
    <col min="11018" max="11018" width="23.42578125" style="11" customWidth="1"/>
    <col min="11019" max="11019" width="35.85546875" style="11" bestFit="1" customWidth="1"/>
    <col min="11020" max="11020" width="22.28515625" style="11" customWidth="1"/>
    <col min="11021" max="11021" width="21.140625" style="11" customWidth="1"/>
    <col min="11022" max="11022" width="23.7109375" style="11" customWidth="1"/>
    <col min="11023" max="11023" width="21.85546875" style="11" customWidth="1"/>
    <col min="11024" max="11024" width="15.42578125" style="11" customWidth="1"/>
    <col min="11025" max="11025" width="36.140625" style="11" bestFit="1" customWidth="1"/>
    <col min="11026" max="11026" width="21.28515625" style="11" customWidth="1"/>
    <col min="11027" max="11028" width="20" style="11" customWidth="1"/>
    <col min="11029" max="11029" width="42.140625" style="11" customWidth="1"/>
    <col min="11030" max="11030" width="13.140625" style="11" customWidth="1"/>
    <col min="11031" max="11031" width="15.140625" style="11" customWidth="1"/>
    <col min="11032" max="11032" width="13.42578125" style="11" customWidth="1"/>
    <col min="11033" max="11033" width="18.7109375" style="11" customWidth="1"/>
    <col min="11034" max="11035" width="27.42578125" style="11" customWidth="1"/>
    <col min="11036" max="11036" width="14.42578125" style="11" customWidth="1"/>
    <col min="11037" max="11037" width="18.5703125" style="11" customWidth="1"/>
    <col min="11038" max="11038" width="16.7109375" style="11" customWidth="1"/>
    <col min="11039" max="11039" width="15.140625" style="11" customWidth="1"/>
    <col min="11040" max="11040" width="14.85546875" style="11" customWidth="1"/>
    <col min="11041" max="11041" width="12.5703125" style="11" customWidth="1"/>
    <col min="11042" max="11042" width="18.42578125" style="11" bestFit="1" customWidth="1"/>
    <col min="11043" max="11043" width="7.28515625" style="11" customWidth="1"/>
    <col min="11044" max="11268" width="9.140625" style="11"/>
    <col min="11269" max="11269" width="3.7109375" style="11" customWidth="1"/>
    <col min="11270" max="11270" width="6.5703125" style="11" customWidth="1"/>
    <col min="11271" max="11271" width="22.28515625" style="11" customWidth="1"/>
    <col min="11272" max="11272" width="26.5703125" style="11" customWidth="1"/>
    <col min="11273" max="11273" width="20" style="11" customWidth="1"/>
    <col min="11274" max="11274" width="23.42578125" style="11" customWidth="1"/>
    <col min="11275" max="11275" width="35.85546875" style="11" bestFit="1" customWidth="1"/>
    <col min="11276" max="11276" width="22.28515625" style="11" customWidth="1"/>
    <col min="11277" max="11277" width="21.140625" style="11" customWidth="1"/>
    <col min="11278" max="11278" width="23.7109375" style="11" customWidth="1"/>
    <col min="11279" max="11279" width="21.85546875" style="11" customWidth="1"/>
    <col min="11280" max="11280" width="15.42578125" style="11" customWidth="1"/>
    <col min="11281" max="11281" width="36.140625" style="11" bestFit="1" customWidth="1"/>
    <col min="11282" max="11282" width="21.28515625" style="11" customWidth="1"/>
    <col min="11283" max="11284" width="20" style="11" customWidth="1"/>
    <col min="11285" max="11285" width="42.140625" style="11" customWidth="1"/>
    <col min="11286" max="11286" width="13.140625" style="11" customWidth="1"/>
    <col min="11287" max="11287" width="15.140625" style="11" customWidth="1"/>
    <col min="11288" max="11288" width="13.42578125" style="11" customWidth="1"/>
    <col min="11289" max="11289" width="18.7109375" style="11" customWidth="1"/>
    <col min="11290" max="11291" width="27.42578125" style="11" customWidth="1"/>
    <col min="11292" max="11292" width="14.42578125" style="11" customWidth="1"/>
    <col min="11293" max="11293" width="18.5703125" style="11" customWidth="1"/>
    <col min="11294" max="11294" width="16.7109375" style="11" customWidth="1"/>
    <col min="11295" max="11295" width="15.140625" style="11" customWidth="1"/>
    <col min="11296" max="11296" width="14.85546875" style="11" customWidth="1"/>
    <col min="11297" max="11297" width="12.5703125" style="11" customWidth="1"/>
    <col min="11298" max="11298" width="18.42578125" style="11" bestFit="1" customWidth="1"/>
    <col min="11299" max="11299" width="7.28515625" style="11" customWidth="1"/>
    <col min="11300" max="11524" width="9.140625" style="11"/>
    <col min="11525" max="11525" width="3.7109375" style="11" customWidth="1"/>
    <col min="11526" max="11526" width="6.5703125" style="11" customWidth="1"/>
    <col min="11527" max="11527" width="22.28515625" style="11" customWidth="1"/>
    <col min="11528" max="11528" width="26.5703125" style="11" customWidth="1"/>
    <col min="11529" max="11529" width="20" style="11" customWidth="1"/>
    <col min="11530" max="11530" width="23.42578125" style="11" customWidth="1"/>
    <col min="11531" max="11531" width="35.85546875" style="11" bestFit="1" customWidth="1"/>
    <col min="11532" max="11532" width="22.28515625" style="11" customWidth="1"/>
    <col min="11533" max="11533" width="21.140625" style="11" customWidth="1"/>
    <col min="11534" max="11534" width="23.7109375" style="11" customWidth="1"/>
    <col min="11535" max="11535" width="21.85546875" style="11" customWidth="1"/>
    <col min="11536" max="11536" width="15.42578125" style="11" customWidth="1"/>
    <col min="11537" max="11537" width="36.140625" style="11" bestFit="1" customWidth="1"/>
    <col min="11538" max="11538" width="21.28515625" style="11" customWidth="1"/>
    <col min="11539" max="11540" width="20" style="11" customWidth="1"/>
    <col min="11541" max="11541" width="42.140625" style="11" customWidth="1"/>
    <col min="11542" max="11542" width="13.140625" style="11" customWidth="1"/>
    <col min="11543" max="11543" width="15.140625" style="11" customWidth="1"/>
    <col min="11544" max="11544" width="13.42578125" style="11" customWidth="1"/>
    <col min="11545" max="11545" width="18.7109375" style="11" customWidth="1"/>
    <col min="11546" max="11547" width="27.42578125" style="11" customWidth="1"/>
    <col min="11548" max="11548" width="14.42578125" style="11" customWidth="1"/>
    <col min="11549" max="11549" width="18.5703125" style="11" customWidth="1"/>
    <col min="11550" max="11550" width="16.7109375" style="11" customWidth="1"/>
    <col min="11551" max="11551" width="15.140625" style="11" customWidth="1"/>
    <col min="11552" max="11552" width="14.85546875" style="11" customWidth="1"/>
    <col min="11553" max="11553" width="12.5703125" style="11" customWidth="1"/>
    <col min="11554" max="11554" width="18.42578125" style="11" bestFit="1" customWidth="1"/>
    <col min="11555" max="11555" width="7.28515625" style="11" customWidth="1"/>
    <col min="11556" max="11780" width="9.140625" style="11"/>
    <col min="11781" max="11781" width="3.7109375" style="11" customWidth="1"/>
    <col min="11782" max="11782" width="6.5703125" style="11" customWidth="1"/>
    <col min="11783" max="11783" width="22.28515625" style="11" customWidth="1"/>
    <col min="11784" max="11784" width="26.5703125" style="11" customWidth="1"/>
    <col min="11785" max="11785" width="20" style="11" customWidth="1"/>
    <col min="11786" max="11786" width="23.42578125" style="11" customWidth="1"/>
    <col min="11787" max="11787" width="35.85546875" style="11" bestFit="1" customWidth="1"/>
    <col min="11788" max="11788" width="22.28515625" style="11" customWidth="1"/>
    <col min="11789" max="11789" width="21.140625" style="11" customWidth="1"/>
    <col min="11790" max="11790" width="23.7109375" style="11" customWidth="1"/>
    <col min="11791" max="11791" width="21.85546875" style="11" customWidth="1"/>
    <col min="11792" max="11792" width="15.42578125" style="11" customWidth="1"/>
    <col min="11793" max="11793" width="36.140625" style="11" bestFit="1" customWidth="1"/>
    <col min="11794" max="11794" width="21.28515625" style="11" customWidth="1"/>
    <col min="11795" max="11796" width="20" style="11" customWidth="1"/>
    <col min="11797" max="11797" width="42.140625" style="11" customWidth="1"/>
    <col min="11798" max="11798" width="13.140625" style="11" customWidth="1"/>
    <col min="11799" max="11799" width="15.140625" style="11" customWidth="1"/>
    <col min="11800" max="11800" width="13.42578125" style="11" customWidth="1"/>
    <col min="11801" max="11801" width="18.7109375" style="11" customWidth="1"/>
    <col min="11802" max="11803" width="27.42578125" style="11" customWidth="1"/>
    <col min="11804" max="11804" width="14.42578125" style="11" customWidth="1"/>
    <col min="11805" max="11805" width="18.5703125" style="11" customWidth="1"/>
    <col min="11806" max="11806" width="16.7109375" style="11" customWidth="1"/>
    <col min="11807" max="11807" width="15.140625" style="11" customWidth="1"/>
    <col min="11808" max="11808" width="14.85546875" style="11" customWidth="1"/>
    <col min="11809" max="11809" width="12.5703125" style="11" customWidth="1"/>
    <col min="11810" max="11810" width="18.42578125" style="11" bestFit="1" customWidth="1"/>
    <col min="11811" max="11811" width="7.28515625" style="11" customWidth="1"/>
    <col min="11812" max="12036" width="9.140625" style="11"/>
    <col min="12037" max="12037" width="3.7109375" style="11" customWidth="1"/>
    <col min="12038" max="12038" width="6.5703125" style="11" customWidth="1"/>
    <col min="12039" max="12039" width="22.28515625" style="11" customWidth="1"/>
    <col min="12040" max="12040" width="26.5703125" style="11" customWidth="1"/>
    <col min="12041" max="12041" width="20" style="11" customWidth="1"/>
    <col min="12042" max="12042" width="23.42578125" style="11" customWidth="1"/>
    <col min="12043" max="12043" width="35.85546875" style="11" bestFit="1" customWidth="1"/>
    <col min="12044" max="12044" width="22.28515625" style="11" customWidth="1"/>
    <col min="12045" max="12045" width="21.140625" style="11" customWidth="1"/>
    <col min="12046" max="12046" width="23.7109375" style="11" customWidth="1"/>
    <col min="12047" max="12047" width="21.85546875" style="11" customWidth="1"/>
    <col min="12048" max="12048" width="15.42578125" style="11" customWidth="1"/>
    <col min="12049" max="12049" width="36.140625" style="11" bestFit="1" customWidth="1"/>
    <col min="12050" max="12050" width="21.28515625" style="11" customWidth="1"/>
    <col min="12051" max="12052" width="20" style="11" customWidth="1"/>
    <col min="12053" max="12053" width="42.140625" style="11" customWidth="1"/>
    <col min="12054" max="12054" width="13.140625" style="11" customWidth="1"/>
    <col min="12055" max="12055" width="15.140625" style="11" customWidth="1"/>
    <col min="12056" max="12056" width="13.42578125" style="11" customWidth="1"/>
    <col min="12057" max="12057" width="18.7109375" style="11" customWidth="1"/>
    <col min="12058" max="12059" width="27.42578125" style="11" customWidth="1"/>
    <col min="12060" max="12060" width="14.42578125" style="11" customWidth="1"/>
    <col min="12061" max="12061" width="18.5703125" style="11" customWidth="1"/>
    <col min="12062" max="12062" width="16.7109375" style="11" customWidth="1"/>
    <col min="12063" max="12063" width="15.140625" style="11" customWidth="1"/>
    <col min="12064" max="12064" width="14.85546875" style="11" customWidth="1"/>
    <col min="12065" max="12065" width="12.5703125" style="11" customWidth="1"/>
    <col min="12066" max="12066" width="18.42578125" style="11" bestFit="1" customWidth="1"/>
    <col min="12067" max="12067" width="7.28515625" style="11" customWidth="1"/>
    <col min="12068" max="12292" width="9.140625" style="11"/>
    <col min="12293" max="12293" width="3.7109375" style="11" customWidth="1"/>
    <col min="12294" max="12294" width="6.5703125" style="11" customWidth="1"/>
    <col min="12295" max="12295" width="22.28515625" style="11" customWidth="1"/>
    <col min="12296" max="12296" width="26.5703125" style="11" customWidth="1"/>
    <col min="12297" max="12297" width="20" style="11" customWidth="1"/>
    <col min="12298" max="12298" width="23.42578125" style="11" customWidth="1"/>
    <col min="12299" max="12299" width="35.85546875" style="11" bestFit="1" customWidth="1"/>
    <col min="12300" max="12300" width="22.28515625" style="11" customWidth="1"/>
    <col min="12301" max="12301" width="21.140625" style="11" customWidth="1"/>
    <col min="12302" max="12302" width="23.7109375" style="11" customWidth="1"/>
    <col min="12303" max="12303" width="21.85546875" style="11" customWidth="1"/>
    <col min="12304" max="12304" width="15.42578125" style="11" customWidth="1"/>
    <col min="12305" max="12305" width="36.140625" style="11" bestFit="1" customWidth="1"/>
    <col min="12306" max="12306" width="21.28515625" style="11" customWidth="1"/>
    <col min="12307" max="12308" width="20" style="11" customWidth="1"/>
    <col min="12309" max="12309" width="42.140625" style="11" customWidth="1"/>
    <col min="12310" max="12310" width="13.140625" style="11" customWidth="1"/>
    <col min="12311" max="12311" width="15.140625" style="11" customWidth="1"/>
    <col min="12312" max="12312" width="13.42578125" style="11" customWidth="1"/>
    <col min="12313" max="12313" width="18.7109375" style="11" customWidth="1"/>
    <col min="12314" max="12315" width="27.42578125" style="11" customWidth="1"/>
    <col min="12316" max="12316" width="14.42578125" style="11" customWidth="1"/>
    <col min="12317" max="12317" width="18.5703125" style="11" customWidth="1"/>
    <col min="12318" max="12318" width="16.7109375" style="11" customWidth="1"/>
    <col min="12319" max="12319" width="15.140625" style="11" customWidth="1"/>
    <col min="12320" max="12320" width="14.85546875" style="11" customWidth="1"/>
    <col min="12321" max="12321" width="12.5703125" style="11" customWidth="1"/>
    <col min="12322" max="12322" width="18.42578125" style="11" bestFit="1" customWidth="1"/>
    <col min="12323" max="12323" width="7.28515625" style="11" customWidth="1"/>
    <col min="12324" max="12548" width="9.140625" style="11"/>
    <col min="12549" max="12549" width="3.7109375" style="11" customWidth="1"/>
    <col min="12550" max="12550" width="6.5703125" style="11" customWidth="1"/>
    <col min="12551" max="12551" width="22.28515625" style="11" customWidth="1"/>
    <col min="12552" max="12552" width="26.5703125" style="11" customWidth="1"/>
    <col min="12553" max="12553" width="20" style="11" customWidth="1"/>
    <col min="12554" max="12554" width="23.42578125" style="11" customWidth="1"/>
    <col min="12555" max="12555" width="35.85546875" style="11" bestFit="1" customWidth="1"/>
    <col min="12556" max="12556" width="22.28515625" style="11" customWidth="1"/>
    <col min="12557" max="12557" width="21.140625" style="11" customWidth="1"/>
    <col min="12558" max="12558" width="23.7109375" style="11" customWidth="1"/>
    <col min="12559" max="12559" width="21.85546875" style="11" customWidth="1"/>
    <col min="12560" max="12560" width="15.42578125" style="11" customWidth="1"/>
    <col min="12561" max="12561" width="36.140625" style="11" bestFit="1" customWidth="1"/>
    <col min="12562" max="12562" width="21.28515625" style="11" customWidth="1"/>
    <col min="12563" max="12564" width="20" style="11" customWidth="1"/>
    <col min="12565" max="12565" width="42.140625" style="11" customWidth="1"/>
    <col min="12566" max="12566" width="13.140625" style="11" customWidth="1"/>
    <col min="12567" max="12567" width="15.140625" style="11" customWidth="1"/>
    <col min="12568" max="12568" width="13.42578125" style="11" customWidth="1"/>
    <col min="12569" max="12569" width="18.7109375" style="11" customWidth="1"/>
    <col min="12570" max="12571" width="27.42578125" style="11" customWidth="1"/>
    <col min="12572" max="12572" width="14.42578125" style="11" customWidth="1"/>
    <col min="12573" max="12573" width="18.5703125" style="11" customWidth="1"/>
    <col min="12574" max="12574" width="16.7109375" style="11" customWidth="1"/>
    <col min="12575" max="12575" width="15.140625" style="11" customWidth="1"/>
    <col min="12576" max="12576" width="14.85546875" style="11" customWidth="1"/>
    <col min="12577" max="12577" width="12.5703125" style="11" customWidth="1"/>
    <col min="12578" max="12578" width="18.42578125" style="11" bestFit="1" customWidth="1"/>
    <col min="12579" max="12579" width="7.28515625" style="11" customWidth="1"/>
    <col min="12580" max="12804" width="9.140625" style="11"/>
    <col min="12805" max="12805" width="3.7109375" style="11" customWidth="1"/>
    <col min="12806" max="12806" width="6.5703125" style="11" customWidth="1"/>
    <col min="12807" max="12807" width="22.28515625" style="11" customWidth="1"/>
    <col min="12808" max="12808" width="26.5703125" style="11" customWidth="1"/>
    <col min="12809" max="12809" width="20" style="11" customWidth="1"/>
    <col min="12810" max="12810" width="23.42578125" style="11" customWidth="1"/>
    <col min="12811" max="12811" width="35.85546875" style="11" bestFit="1" customWidth="1"/>
    <col min="12812" max="12812" width="22.28515625" style="11" customWidth="1"/>
    <col min="12813" max="12813" width="21.140625" style="11" customWidth="1"/>
    <col min="12814" max="12814" width="23.7109375" style="11" customWidth="1"/>
    <col min="12815" max="12815" width="21.85546875" style="11" customWidth="1"/>
    <col min="12816" max="12816" width="15.42578125" style="11" customWidth="1"/>
    <col min="12817" max="12817" width="36.140625" style="11" bestFit="1" customWidth="1"/>
    <col min="12818" max="12818" width="21.28515625" style="11" customWidth="1"/>
    <col min="12819" max="12820" width="20" style="11" customWidth="1"/>
    <col min="12821" max="12821" width="42.140625" style="11" customWidth="1"/>
    <col min="12822" max="12822" width="13.140625" style="11" customWidth="1"/>
    <col min="12823" max="12823" width="15.140625" style="11" customWidth="1"/>
    <col min="12824" max="12824" width="13.42578125" style="11" customWidth="1"/>
    <col min="12825" max="12825" width="18.7109375" style="11" customWidth="1"/>
    <col min="12826" max="12827" width="27.42578125" style="11" customWidth="1"/>
    <col min="12828" max="12828" width="14.42578125" style="11" customWidth="1"/>
    <col min="12829" max="12829" width="18.5703125" style="11" customWidth="1"/>
    <col min="12830" max="12830" width="16.7109375" style="11" customWidth="1"/>
    <col min="12831" max="12831" width="15.140625" style="11" customWidth="1"/>
    <col min="12832" max="12832" width="14.85546875" style="11" customWidth="1"/>
    <col min="12833" max="12833" width="12.5703125" style="11" customWidth="1"/>
    <col min="12834" max="12834" width="18.42578125" style="11" bestFit="1" customWidth="1"/>
    <col min="12835" max="12835" width="7.28515625" style="11" customWidth="1"/>
    <col min="12836" max="13060" width="9.140625" style="11"/>
    <col min="13061" max="13061" width="3.7109375" style="11" customWidth="1"/>
    <col min="13062" max="13062" width="6.5703125" style="11" customWidth="1"/>
    <col min="13063" max="13063" width="22.28515625" style="11" customWidth="1"/>
    <col min="13064" max="13064" width="26.5703125" style="11" customWidth="1"/>
    <col min="13065" max="13065" width="20" style="11" customWidth="1"/>
    <col min="13066" max="13066" width="23.42578125" style="11" customWidth="1"/>
    <col min="13067" max="13067" width="35.85546875" style="11" bestFit="1" customWidth="1"/>
    <col min="13068" max="13068" width="22.28515625" style="11" customWidth="1"/>
    <col min="13069" max="13069" width="21.140625" style="11" customWidth="1"/>
    <col min="13070" max="13070" width="23.7109375" style="11" customWidth="1"/>
    <col min="13071" max="13071" width="21.85546875" style="11" customWidth="1"/>
    <col min="13072" max="13072" width="15.42578125" style="11" customWidth="1"/>
    <col min="13073" max="13073" width="36.140625" style="11" bestFit="1" customWidth="1"/>
    <col min="13074" max="13074" width="21.28515625" style="11" customWidth="1"/>
    <col min="13075" max="13076" width="20" style="11" customWidth="1"/>
    <col min="13077" max="13077" width="42.140625" style="11" customWidth="1"/>
    <col min="13078" max="13078" width="13.140625" style="11" customWidth="1"/>
    <col min="13079" max="13079" width="15.140625" style="11" customWidth="1"/>
    <col min="13080" max="13080" width="13.42578125" style="11" customWidth="1"/>
    <col min="13081" max="13081" width="18.7109375" style="11" customWidth="1"/>
    <col min="13082" max="13083" width="27.42578125" style="11" customWidth="1"/>
    <col min="13084" max="13084" width="14.42578125" style="11" customWidth="1"/>
    <col min="13085" max="13085" width="18.5703125" style="11" customWidth="1"/>
    <col min="13086" max="13086" width="16.7109375" style="11" customWidth="1"/>
    <col min="13087" max="13087" width="15.140625" style="11" customWidth="1"/>
    <col min="13088" max="13088" width="14.85546875" style="11" customWidth="1"/>
    <col min="13089" max="13089" width="12.5703125" style="11" customWidth="1"/>
    <col min="13090" max="13090" width="18.42578125" style="11" bestFit="1" customWidth="1"/>
    <col min="13091" max="13091" width="7.28515625" style="11" customWidth="1"/>
    <col min="13092" max="13316" width="9.140625" style="11"/>
    <col min="13317" max="13317" width="3.7109375" style="11" customWidth="1"/>
    <col min="13318" max="13318" width="6.5703125" style="11" customWidth="1"/>
    <col min="13319" max="13319" width="22.28515625" style="11" customWidth="1"/>
    <col min="13320" max="13320" width="26.5703125" style="11" customWidth="1"/>
    <col min="13321" max="13321" width="20" style="11" customWidth="1"/>
    <col min="13322" max="13322" width="23.42578125" style="11" customWidth="1"/>
    <col min="13323" max="13323" width="35.85546875" style="11" bestFit="1" customWidth="1"/>
    <col min="13324" max="13324" width="22.28515625" style="11" customWidth="1"/>
    <col min="13325" max="13325" width="21.140625" style="11" customWidth="1"/>
    <col min="13326" max="13326" width="23.7109375" style="11" customWidth="1"/>
    <col min="13327" max="13327" width="21.85546875" style="11" customWidth="1"/>
    <col min="13328" max="13328" width="15.42578125" style="11" customWidth="1"/>
    <col min="13329" max="13329" width="36.140625" style="11" bestFit="1" customWidth="1"/>
    <col min="13330" max="13330" width="21.28515625" style="11" customWidth="1"/>
    <col min="13331" max="13332" width="20" style="11" customWidth="1"/>
    <col min="13333" max="13333" width="42.140625" style="11" customWidth="1"/>
    <col min="13334" max="13334" width="13.140625" style="11" customWidth="1"/>
    <col min="13335" max="13335" width="15.140625" style="11" customWidth="1"/>
    <col min="13336" max="13336" width="13.42578125" style="11" customWidth="1"/>
    <col min="13337" max="13337" width="18.7109375" style="11" customWidth="1"/>
    <col min="13338" max="13339" width="27.42578125" style="11" customWidth="1"/>
    <col min="13340" max="13340" width="14.42578125" style="11" customWidth="1"/>
    <col min="13341" max="13341" width="18.5703125" style="11" customWidth="1"/>
    <col min="13342" max="13342" width="16.7109375" style="11" customWidth="1"/>
    <col min="13343" max="13343" width="15.140625" style="11" customWidth="1"/>
    <col min="13344" max="13344" width="14.85546875" style="11" customWidth="1"/>
    <col min="13345" max="13345" width="12.5703125" style="11" customWidth="1"/>
    <col min="13346" max="13346" width="18.42578125" style="11" bestFit="1" customWidth="1"/>
    <col min="13347" max="13347" width="7.28515625" style="11" customWidth="1"/>
    <col min="13348" max="13572" width="9.140625" style="11"/>
    <col min="13573" max="13573" width="3.7109375" style="11" customWidth="1"/>
    <col min="13574" max="13574" width="6.5703125" style="11" customWidth="1"/>
    <col min="13575" max="13575" width="22.28515625" style="11" customWidth="1"/>
    <col min="13576" max="13576" width="26.5703125" style="11" customWidth="1"/>
    <col min="13577" max="13577" width="20" style="11" customWidth="1"/>
    <col min="13578" max="13578" width="23.42578125" style="11" customWidth="1"/>
    <col min="13579" max="13579" width="35.85546875" style="11" bestFit="1" customWidth="1"/>
    <col min="13580" max="13580" width="22.28515625" style="11" customWidth="1"/>
    <col min="13581" max="13581" width="21.140625" style="11" customWidth="1"/>
    <col min="13582" max="13582" width="23.7109375" style="11" customWidth="1"/>
    <col min="13583" max="13583" width="21.85546875" style="11" customWidth="1"/>
    <col min="13584" max="13584" width="15.42578125" style="11" customWidth="1"/>
    <col min="13585" max="13585" width="36.140625" style="11" bestFit="1" customWidth="1"/>
    <col min="13586" max="13586" width="21.28515625" style="11" customWidth="1"/>
    <col min="13587" max="13588" width="20" style="11" customWidth="1"/>
    <col min="13589" max="13589" width="42.140625" style="11" customWidth="1"/>
    <col min="13590" max="13590" width="13.140625" style="11" customWidth="1"/>
    <col min="13591" max="13591" width="15.140625" style="11" customWidth="1"/>
    <col min="13592" max="13592" width="13.42578125" style="11" customWidth="1"/>
    <col min="13593" max="13593" width="18.7109375" style="11" customWidth="1"/>
    <col min="13594" max="13595" width="27.42578125" style="11" customWidth="1"/>
    <col min="13596" max="13596" width="14.42578125" style="11" customWidth="1"/>
    <col min="13597" max="13597" width="18.5703125" style="11" customWidth="1"/>
    <col min="13598" max="13598" width="16.7109375" style="11" customWidth="1"/>
    <col min="13599" max="13599" width="15.140625" style="11" customWidth="1"/>
    <col min="13600" max="13600" width="14.85546875" style="11" customWidth="1"/>
    <col min="13601" max="13601" width="12.5703125" style="11" customWidth="1"/>
    <col min="13602" max="13602" width="18.42578125" style="11" bestFit="1" customWidth="1"/>
    <col min="13603" max="13603" width="7.28515625" style="11" customWidth="1"/>
    <col min="13604" max="13828" width="9.140625" style="11"/>
    <col min="13829" max="13829" width="3.7109375" style="11" customWidth="1"/>
    <col min="13830" max="13830" width="6.5703125" style="11" customWidth="1"/>
    <col min="13831" max="13831" width="22.28515625" style="11" customWidth="1"/>
    <col min="13832" max="13832" width="26.5703125" style="11" customWidth="1"/>
    <col min="13833" max="13833" width="20" style="11" customWidth="1"/>
    <col min="13834" max="13834" width="23.42578125" style="11" customWidth="1"/>
    <col min="13835" max="13835" width="35.85546875" style="11" bestFit="1" customWidth="1"/>
    <col min="13836" max="13836" width="22.28515625" style="11" customWidth="1"/>
    <col min="13837" max="13837" width="21.140625" style="11" customWidth="1"/>
    <col min="13838" max="13838" width="23.7109375" style="11" customWidth="1"/>
    <col min="13839" max="13839" width="21.85546875" style="11" customWidth="1"/>
    <col min="13840" max="13840" width="15.42578125" style="11" customWidth="1"/>
    <col min="13841" max="13841" width="36.140625" style="11" bestFit="1" customWidth="1"/>
    <col min="13842" max="13842" width="21.28515625" style="11" customWidth="1"/>
    <col min="13843" max="13844" width="20" style="11" customWidth="1"/>
    <col min="13845" max="13845" width="42.140625" style="11" customWidth="1"/>
    <col min="13846" max="13846" width="13.140625" style="11" customWidth="1"/>
    <col min="13847" max="13847" width="15.140625" style="11" customWidth="1"/>
    <col min="13848" max="13848" width="13.42578125" style="11" customWidth="1"/>
    <col min="13849" max="13849" width="18.7109375" style="11" customWidth="1"/>
    <col min="13850" max="13851" width="27.42578125" style="11" customWidth="1"/>
    <col min="13852" max="13852" width="14.42578125" style="11" customWidth="1"/>
    <col min="13853" max="13853" width="18.5703125" style="11" customWidth="1"/>
    <col min="13854" max="13854" width="16.7109375" style="11" customWidth="1"/>
    <col min="13855" max="13855" width="15.140625" style="11" customWidth="1"/>
    <col min="13856" max="13856" width="14.85546875" style="11" customWidth="1"/>
    <col min="13857" max="13857" width="12.5703125" style="11" customWidth="1"/>
    <col min="13858" max="13858" width="18.42578125" style="11" bestFit="1" customWidth="1"/>
    <col min="13859" max="13859" width="7.28515625" style="11" customWidth="1"/>
    <col min="13860" max="14084" width="9.140625" style="11"/>
    <col min="14085" max="14085" width="3.7109375" style="11" customWidth="1"/>
    <col min="14086" max="14086" width="6.5703125" style="11" customWidth="1"/>
    <col min="14087" max="14087" width="22.28515625" style="11" customWidth="1"/>
    <col min="14088" max="14088" width="26.5703125" style="11" customWidth="1"/>
    <col min="14089" max="14089" width="20" style="11" customWidth="1"/>
    <col min="14090" max="14090" width="23.42578125" style="11" customWidth="1"/>
    <col min="14091" max="14091" width="35.85546875" style="11" bestFit="1" customWidth="1"/>
    <col min="14092" max="14092" width="22.28515625" style="11" customWidth="1"/>
    <col min="14093" max="14093" width="21.140625" style="11" customWidth="1"/>
    <col min="14094" max="14094" width="23.7109375" style="11" customWidth="1"/>
    <col min="14095" max="14095" width="21.85546875" style="11" customWidth="1"/>
    <col min="14096" max="14096" width="15.42578125" style="11" customWidth="1"/>
    <col min="14097" max="14097" width="36.140625" style="11" bestFit="1" customWidth="1"/>
    <col min="14098" max="14098" width="21.28515625" style="11" customWidth="1"/>
    <col min="14099" max="14100" width="20" style="11" customWidth="1"/>
    <col min="14101" max="14101" width="42.140625" style="11" customWidth="1"/>
    <col min="14102" max="14102" width="13.140625" style="11" customWidth="1"/>
    <col min="14103" max="14103" width="15.140625" style="11" customWidth="1"/>
    <col min="14104" max="14104" width="13.42578125" style="11" customWidth="1"/>
    <col min="14105" max="14105" width="18.7109375" style="11" customWidth="1"/>
    <col min="14106" max="14107" width="27.42578125" style="11" customWidth="1"/>
    <col min="14108" max="14108" width="14.42578125" style="11" customWidth="1"/>
    <col min="14109" max="14109" width="18.5703125" style="11" customWidth="1"/>
    <col min="14110" max="14110" width="16.7109375" style="11" customWidth="1"/>
    <col min="14111" max="14111" width="15.140625" style="11" customWidth="1"/>
    <col min="14112" max="14112" width="14.85546875" style="11" customWidth="1"/>
    <col min="14113" max="14113" width="12.5703125" style="11" customWidth="1"/>
    <col min="14114" max="14114" width="18.42578125" style="11" bestFit="1" customWidth="1"/>
    <col min="14115" max="14115" width="7.28515625" style="11" customWidth="1"/>
    <col min="14116" max="14340" width="9.140625" style="11"/>
    <col min="14341" max="14341" width="3.7109375" style="11" customWidth="1"/>
    <col min="14342" max="14342" width="6.5703125" style="11" customWidth="1"/>
    <col min="14343" max="14343" width="22.28515625" style="11" customWidth="1"/>
    <col min="14344" max="14344" width="26.5703125" style="11" customWidth="1"/>
    <col min="14345" max="14345" width="20" style="11" customWidth="1"/>
    <col min="14346" max="14346" width="23.42578125" style="11" customWidth="1"/>
    <col min="14347" max="14347" width="35.85546875" style="11" bestFit="1" customWidth="1"/>
    <col min="14348" max="14348" width="22.28515625" style="11" customWidth="1"/>
    <col min="14349" max="14349" width="21.140625" style="11" customWidth="1"/>
    <col min="14350" max="14350" width="23.7109375" style="11" customWidth="1"/>
    <col min="14351" max="14351" width="21.85546875" style="11" customWidth="1"/>
    <col min="14352" max="14352" width="15.42578125" style="11" customWidth="1"/>
    <col min="14353" max="14353" width="36.140625" style="11" bestFit="1" customWidth="1"/>
    <col min="14354" max="14354" width="21.28515625" style="11" customWidth="1"/>
    <col min="14355" max="14356" width="20" style="11" customWidth="1"/>
    <col min="14357" max="14357" width="42.140625" style="11" customWidth="1"/>
    <col min="14358" max="14358" width="13.140625" style="11" customWidth="1"/>
    <col min="14359" max="14359" width="15.140625" style="11" customWidth="1"/>
    <col min="14360" max="14360" width="13.42578125" style="11" customWidth="1"/>
    <col min="14361" max="14361" width="18.7109375" style="11" customWidth="1"/>
    <col min="14362" max="14363" width="27.42578125" style="11" customWidth="1"/>
    <col min="14364" max="14364" width="14.42578125" style="11" customWidth="1"/>
    <col min="14365" max="14365" width="18.5703125" style="11" customWidth="1"/>
    <col min="14366" max="14366" width="16.7109375" style="11" customWidth="1"/>
    <col min="14367" max="14367" width="15.140625" style="11" customWidth="1"/>
    <col min="14368" max="14368" width="14.85546875" style="11" customWidth="1"/>
    <col min="14369" max="14369" width="12.5703125" style="11" customWidth="1"/>
    <col min="14370" max="14370" width="18.42578125" style="11" bestFit="1" customWidth="1"/>
    <col min="14371" max="14371" width="7.28515625" style="11" customWidth="1"/>
    <col min="14372" max="14596" width="9.140625" style="11"/>
    <col min="14597" max="14597" width="3.7109375" style="11" customWidth="1"/>
    <col min="14598" max="14598" width="6.5703125" style="11" customWidth="1"/>
    <col min="14599" max="14599" width="22.28515625" style="11" customWidth="1"/>
    <col min="14600" max="14600" width="26.5703125" style="11" customWidth="1"/>
    <col min="14601" max="14601" width="20" style="11" customWidth="1"/>
    <col min="14602" max="14602" width="23.42578125" style="11" customWidth="1"/>
    <col min="14603" max="14603" width="35.85546875" style="11" bestFit="1" customWidth="1"/>
    <col min="14604" max="14604" width="22.28515625" style="11" customWidth="1"/>
    <col min="14605" max="14605" width="21.140625" style="11" customWidth="1"/>
    <col min="14606" max="14606" width="23.7109375" style="11" customWidth="1"/>
    <col min="14607" max="14607" width="21.85546875" style="11" customWidth="1"/>
    <col min="14608" max="14608" width="15.42578125" style="11" customWidth="1"/>
    <col min="14609" max="14609" width="36.140625" style="11" bestFit="1" customWidth="1"/>
    <col min="14610" max="14610" width="21.28515625" style="11" customWidth="1"/>
    <col min="14611" max="14612" width="20" style="11" customWidth="1"/>
    <col min="14613" max="14613" width="42.140625" style="11" customWidth="1"/>
    <col min="14614" max="14614" width="13.140625" style="11" customWidth="1"/>
    <col min="14615" max="14615" width="15.140625" style="11" customWidth="1"/>
    <col min="14616" max="14616" width="13.42578125" style="11" customWidth="1"/>
    <col min="14617" max="14617" width="18.7109375" style="11" customWidth="1"/>
    <col min="14618" max="14619" width="27.42578125" style="11" customWidth="1"/>
    <col min="14620" max="14620" width="14.42578125" style="11" customWidth="1"/>
    <col min="14621" max="14621" width="18.5703125" style="11" customWidth="1"/>
    <col min="14622" max="14622" width="16.7109375" style="11" customWidth="1"/>
    <col min="14623" max="14623" width="15.140625" style="11" customWidth="1"/>
    <col min="14624" max="14624" width="14.85546875" style="11" customWidth="1"/>
    <col min="14625" max="14625" width="12.5703125" style="11" customWidth="1"/>
    <col min="14626" max="14626" width="18.42578125" style="11" bestFit="1" customWidth="1"/>
    <col min="14627" max="14627" width="7.28515625" style="11" customWidth="1"/>
    <col min="14628" max="14852" width="9.140625" style="11"/>
    <col min="14853" max="14853" width="3.7109375" style="11" customWidth="1"/>
    <col min="14854" max="14854" width="6.5703125" style="11" customWidth="1"/>
    <col min="14855" max="14855" width="22.28515625" style="11" customWidth="1"/>
    <col min="14856" max="14856" width="26.5703125" style="11" customWidth="1"/>
    <col min="14857" max="14857" width="20" style="11" customWidth="1"/>
    <col min="14858" max="14858" width="23.42578125" style="11" customWidth="1"/>
    <col min="14859" max="14859" width="35.85546875" style="11" bestFit="1" customWidth="1"/>
    <col min="14860" max="14860" width="22.28515625" style="11" customWidth="1"/>
    <col min="14861" max="14861" width="21.140625" style="11" customWidth="1"/>
    <col min="14862" max="14862" width="23.7109375" style="11" customWidth="1"/>
    <col min="14863" max="14863" width="21.85546875" style="11" customWidth="1"/>
    <col min="14864" max="14864" width="15.42578125" style="11" customWidth="1"/>
    <col min="14865" max="14865" width="36.140625" style="11" bestFit="1" customWidth="1"/>
    <col min="14866" max="14866" width="21.28515625" style="11" customWidth="1"/>
    <col min="14867" max="14868" width="20" style="11" customWidth="1"/>
    <col min="14869" max="14869" width="42.140625" style="11" customWidth="1"/>
    <col min="14870" max="14870" width="13.140625" style="11" customWidth="1"/>
    <col min="14871" max="14871" width="15.140625" style="11" customWidth="1"/>
    <col min="14872" max="14872" width="13.42578125" style="11" customWidth="1"/>
    <col min="14873" max="14873" width="18.7109375" style="11" customWidth="1"/>
    <col min="14874" max="14875" width="27.42578125" style="11" customWidth="1"/>
    <col min="14876" max="14876" width="14.42578125" style="11" customWidth="1"/>
    <col min="14877" max="14877" width="18.5703125" style="11" customWidth="1"/>
    <col min="14878" max="14878" width="16.7109375" style="11" customWidth="1"/>
    <col min="14879" max="14879" width="15.140625" style="11" customWidth="1"/>
    <col min="14880" max="14880" width="14.85546875" style="11" customWidth="1"/>
    <col min="14881" max="14881" width="12.5703125" style="11" customWidth="1"/>
    <col min="14882" max="14882" width="18.42578125" style="11" bestFit="1" customWidth="1"/>
    <col min="14883" max="14883" width="7.28515625" style="11" customWidth="1"/>
    <col min="14884" max="15108" width="9.140625" style="11"/>
    <col min="15109" max="15109" width="3.7109375" style="11" customWidth="1"/>
    <col min="15110" max="15110" width="6.5703125" style="11" customWidth="1"/>
    <col min="15111" max="15111" width="22.28515625" style="11" customWidth="1"/>
    <col min="15112" max="15112" width="26.5703125" style="11" customWidth="1"/>
    <col min="15113" max="15113" width="20" style="11" customWidth="1"/>
    <col min="15114" max="15114" width="23.42578125" style="11" customWidth="1"/>
    <col min="15115" max="15115" width="35.85546875" style="11" bestFit="1" customWidth="1"/>
    <col min="15116" max="15116" width="22.28515625" style="11" customWidth="1"/>
    <col min="15117" max="15117" width="21.140625" style="11" customWidth="1"/>
    <col min="15118" max="15118" width="23.7109375" style="11" customWidth="1"/>
    <col min="15119" max="15119" width="21.85546875" style="11" customWidth="1"/>
    <col min="15120" max="15120" width="15.42578125" style="11" customWidth="1"/>
    <col min="15121" max="15121" width="36.140625" style="11" bestFit="1" customWidth="1"/>
    <col min="15122" max="15122" width="21.28515625" style="11" customWidth="1"/>
    <col min="15123" max="15124" width="20" style="11" customWidth="1"/>
    <col min="15125" max="15125" width="42.140625" style="11" customWidth="1"/>
    <col min="15126" max="15126" width="13.140625" style="11" customWidth="1"/>
    <col min="15127" max="15127" width="15.140625" style="11" customWidth="1"/>
    <col min="15128" max="15128" width="13.42578125" style="11" customWidth="1"/>
    <col min="15129" max="15129" width="18.7109375" style="11" customWidth="1"/>
    <col min="15130" max="15131" width="27.42578125" style="11" customWidth="1"/>
    <col min="15132" max="15132" width="14.42578125" style="11" customWidth="1"/>
    <col min="15133" max="15133" width="18.5703125" style="11" customWidth="1"/>
    <col min="15134" max="15134" width="16.7109375" style="11" customWidth="1"/>
    <col min="15135" max="15135" width="15.140625" style="11" customWidth="1"/>
    <col min="15136" max="15136" width="14.85546875" style="11" customWidth="1"/>
    <col min="15137" max="15137" width="12.5703125" style="11" customWidth="1"/>
    <col min="15138" max="15138" width="18.42578125" style="11" bestFit="1" customWidth="1"/>
    <col min="15139" max="15139" width="7.28515625" style="11" customWidth="1"/>
    <col min="15140" max="15364" width="9.140625" style="11"/>
    <col min="15365" max="15365" width="3.7109375" style="11" customWidth="1"/>
    <col min="15366" max="15366" width="6.5703125" style="11" customWidth="1"/>
    <col min="15367" max="15367" width="22.28515625" style="11" customWidth="1"/>
    <col min="15368" max="15368" width="26.5703125" style="11" customWidth="1"/>
    <col min="15369" max="15369" width="20" style="11" customWidth="1"/>
    <col min="15370" max="15370" width="23.42578125" style="11" customWidth="1"/>
    <col min="15371" max="15371" width="35.85546875" style="11" bestFit="1" customWidth="1"/>
    <col min="15372" max="15372" width="22.28515625" style="11" customWidth="1"/>
    <col min="15373" max="15373" width="21.140625" style="11" customWidth="1"/>
    <col min="15374" max="15374" width="23.7109375" style="11" customWidth="1"/>
    <col min="15375" max="15375" width="21.85546875" style="11" customWidth="1"/>
    <col min="15376" max="15376" width="15.42578125" style="11" customWidth="1"/>
    <col min="15377" max="15377" width="36.140625" style="11" bestFit="1" customWidth="1"/>
    <col min="15378" max="15378" width="21.28515625" style="11" customWidth="1"/>
    <col min="15379" max="15380" width="20" style="11" customWidth="1"/>
    <col min="15381" max="15381" width="42.140625" style="11" customWidth="1"/>
    <col min="15382" max="15382" width="13.140625" style="11" customWidth="1"/>
    <col min="15383" max="15383" width="15.140625" style="11" customWidth="1"/>
    <col min="15384" max="15384" width="13.42578125" style="11" customWidth="1"/>
    <col min="15385" max="15385" width="18.7109375" style="11" customWidth="1"/>
    <col min="15386" max="15387" width="27.42578125" style="11" customWidth="1"/>
    <col min="15388" max="15388" width="14.42578125" style="11" customWidth="1"/>
    <col min="15389" max="15389" width="18.5703125" style="11" customWidth="1"/>
    <col min="15390" max="15390" width="16.7109375" style="11" customWidth="1"/>
    <col min="15391" max="15391" width="15.140625" style="11" customWidth="1"/>
    <col min="15392" max="15392" width="14.85546875" style="11" customWidth="1"/>
    <col min="15393" max="15393" width="12.5703125" style="11" customWidth="1"/>
    <col min="15394" max="15394" width="18.42578125" style="11" bestFit="1" customWidth="1"/>
    <col min="15395" max="15395" width="7.28515625" style="11" customWidth="1"/>
    <col min="15396" max="15620" width="9.140625" style="11"/>
    <col min="15621" max="15621" width="3.7109375" style="11" customWidth="1"/>
    <col min="15622" max="15622" width="6.5703125" style="11" customWidth="1"/>
    <col min="15623" max="15623" width="22.28515625" style="11" customWidth="1"/>
    <col min="15624" max="15624" width="26.5703125" style="11" customWidth="1"/>
    <col min="15625" max="15625" width="20" style="11" customWidth="1"/>
    <col min="15626" max="15626" width="23.42578125" style="11" customWidth="1"/>
    <col min="15627" max="15627" width="35.85546875" style="11" bestFit="1" customWidth="1"/>
    <col min="15628" max="15628" width="22.28515625" style="11" customWidth="1"/>
    <col min="15629" max="15629" width="21.140625" style="11" customWidth="1"/>
    <col min="15630" max="15630" width="23.7109375" style="11" customWidth="1"/>
    <col min="15631" max="15631" width="21.85546875" style="11" customWidth="1"/>
    <col min="15632" max="15632" width="15.42578125" style="11" customWidth="1"/>
    <col min="15633" max="15633" width="36.140625" style="11" bestFit="1" customWidth="1"/>
    <col min="15634" max="15634" width="21.28515625" style="11" customWidth="1"/>
    <col min="15635" max="15636" width="20" style="11" customWidth="1"/>
    <col min="15637" max="15637" width="42.140625" style="11" customWidth="1"/>
    <col min="15638" max="15638" width="13.140625" style="11" customWidth="1"/>
    <col min="15639" max="15639" width="15.140625" style="11" customWidth="1"/>
    <col min="15640" max="15640" width="13.42578125" style="11" customWidth="1"/>
    <col min="15641" max="15641" width="18.7109375" style="11" customWidth="1"/>
    <col min="15642" max="15643" width="27.42578125" style="11" customWidth="1"/>
    <col min="15644" max="15644" width="14.42578125" style="11" customWidth="1"/>
    <col min="15645" max="15645" width="18.5703125" style="11" customWidth="1"/>
    <col min="15646" max="15646" width="16.7109375" style="11" customWidth="1"/>
    <col min="15647" max="15647" width="15.140625" style="11" customWidth="1"/>
    <col min="15648" max="15648" width="14.85546875" style="11" customWidth="1"/>
    <col min="15649" max="15649" width="12.5703125" style="11" customWidth="1"/>
    <col min="15650" max="15650" width="18.42578125" style="11" bestFit="1" customWidth="1"/>
    <col min="15651" max="15651" width="7.28515625" style="11" customWidth="1"/>
    <col min="15652" max="15876" width="9.140625" style="11"/>
    <col min="15877" max="15877" width="3.7109375" style="11" customWidth="1"/>
    <col min="15878" max="15878" width="6.5703125" style="11" customWidth="1"/>
    <col min="15879" max="15879" width="22.28515625" style="11" customWidth="1"/>
    <col min="15880" max="15880" width="26.5703125" style="11" customWidth="1"/>
    <col min="15881" max="15881" width="20" style="11" customWidth="1"/>
    <col min="15882" max="15882" width="23.42578125" style="11" customWidth="1"/>
    <col min="15883" max="15883" width="35.85546875" style="11" bestFit="1" customWidth="1"/>
    <col min="15884" max="15884" width="22.28515625" style="11" customWidth="1"/>
    <col min="15885" max="15885" width="21.140625" style="11" customWidth="1"/>
    <col min="15886" max="15886" width="23.7109375" style="11" customWidth="1"/>
    <col min="15887" max="15887" width="21.85546875" style="11" customWidth="1"/>
    <col min="15888" max="15888" width="15.42578125" style="11" customWidth="1"/>
    <col min="15889" max="15889" width="36.140625" style="11" bestFit="1" customWidth="1"/>
    <col min="15890" max="15890" width="21.28515625" style="11" customWidth="1"/>
    <col min="15891" max="15892" width="20" style="11" customWidth="1"/>
    <col min="15893" max="15893" width="42.140625" style="11" customWidth="1"/>
    <col min="15894" max="15894" width="13.140625" style="11" customWidth="1"/>
    <col min="15895" max="15895" width="15.140625" style="11" customWidth="1"/>
    <col min="15896" max="15896" width="13.42578125" style="11" customWidth="1"/>
    <col min="15897" max="15897" width="18.7109375" style="11" customWidth="1"/>
    <col min="15898" max="15899" width="27.42578125" style="11" customWidth="1"/>
    <col min="15900" max="15900" width="14.42578125" style="11" customWidth="1"/>
    <col min="15901" max="15901" width="18.5703125" style="11" customWidth="1"/>
    <col min="15902" max="15902" width="16.7109375" style="11" customWidth="1"/>
    <col min="15903" max="15903" width="15.140625" style="11" customWidth="1"/>
    <col min="15904" max="15904" width="14.85546875" style="11" customWidth="1"/>
    <col min="15905" max="15905" width="12.5703125" style="11" customWidth="1"/>
    <col min="15906" max="15906" width="18.42578125" style="11" bestFit="1" customWidth="1"/>
    <col min="15907" max="15907" width="7.28515625" style="11" customWidth="1"/>
    <col min="15908" max="16132" width="9.140625" style="11"/>
    <col min="16133" max="16133" width="3.7109375" style="11" customWidth="1"/>
    <col min="16134" max="16134" width="6.5703125" style="11" customWidth="1"/>
    <col min="16135" max="16135" width="22.28515625" style="11" customWidth="1"/>
    <col min="16136" max="16136" width="26.5703125" style="11" customWidth="1"/>
    <col min="16137" max="16137" width="20" style="11" customWidth="1"/>
    <col min="16138" max="16138" width="23.42578125" style="11" customWidth="1"/>
    <col min="16139" max="16139" width="35.85546875" style="11" bestFit="1" customWidth="1"/>
    <col min="16140" max="16140" width="22.28515625" style="11" customWidth="1"/>
    <col min="16141" max="16141" width="21.140625" style="11" customWidth="1"/>
    <col min="16142" max="16142" width="23.7109375" style="11" customWidth="1"/>
    <col min="16143" max="16143" width="21.85546875" style="11" customWidth="1"/>
    <col min="16144" max="16144" width="15.42578125" style="11" customWidth="1"/>
    <col min="16145" max="16145" width="36.140625" style="11" bestFit="1" customWidth="1"/>
    <col min="16146" max="16146" width="21.28515625" style="11" customWidth="1"/>
    <col min="16147" max="16148" width="20" style="11" customWidth="1"/>
    <col min="16149" max="16149" width="42.140625" style="11" customWidth="1"/>
    <col min="16150" max="16150" width="13.140625" style="11" customWidth="1"/>
    <col min="16151" max="16151" width="15.140625" style="11" customWidth="1"/>
    <col min="16152" max="16152" width="13.42578125" style="11" customWidth="1"/>
    <col min="16153" max="16153" width="18.7109375" style="11" customWidth="1"/>
    <col min="16154" max="16155" width="27.42578125" style="11" customWidth="1"/>
    <col min="16156" max="16156" width="14.42578125" style="11" customWidth="1"/>
    <col min="16157" max="16157" width="18.5703125" style="11" customWidth="1"/>
    <col min="16158" max="16158" width="16.7109375" style="11" customWidth="1"/>
    <col min="16159" max="16159" width="15.140625" style="11" customWidth="1"/>
    <col min="16160" max="16160" width="14.85546875" style="11" customWidth="1"/>
    <col min="16161" max="16161" width="12.5703125" style="11" customWidth="1"/>
    <col min="16162" max="16162" width="18.42578125" style="11" bestFit="1" customWidth="1"/>
    <col min="16163" max="16163" width="7.28515625" style="11" customWidth="1"/>
    <col min="16164" max="16384" width="9.140625" style="11"/>
  </cols>
  <sheetData>
    <row r="1" spans="1:36" ht="19.5" customHeight="1">
      <c r="A1" s="401"/>
      <c r="B1" s="401"/>
      <c r="C1" s="401"/>
      <c r="D1" s="401"/>
      <c r="E1" s="401"/>
      <c r="F1" s="401"/>
      <c r="G1" s="401"/>
      <c r="H1" s="401"/>
      <c r="I1" s="401"/>
      <c r="J1" s="401"/>
      <c r="K1" s="401"/>
      <c r="L1" s="401"/>
      <c r="M1" s="401"/>
      <c r="N1" s="401"/>
      <c r="O1" s="401"/>
      <c r="P1" s="2"/>
      <c r="Q1" s="2"/>
      <c r="R1" s="2"/>
      <c r="S1" s="2"/>
      <c r="T1" s="2"/>
      <c r="U1" s="2"/>
      <c r="V1" s="2"/>
      <c r="W1" s="2"/>
      <c r="X1" s="2"/>
      <c r="Y1" s="2"/>
      <c r="Z1" s="2"/>
      <c r="AA1" s="2"/>
      <c r="AB1" s="2"/>
      <c r="AC1" s="401"/>
      <c r="AD1" s="401"/>
      <c r="AE1" s="2"/>
      <c r="AF1" s="401"/>
      <c r="AG1" s="402" t="s">
        <v>608</v>
      </c>
      <c r="AH1" s="402"/>
      <c r="AI1" s="402" t="s">
        <v>609</v>
      </c>
      <c r="AJ1" s="401"/>
    </row>
    <row r="2" spans="1:36" ht="27" customHeight="1">
      <c r="A2" s="401"/>
      <c r="B2" s="790" t="s">
        <v>610</v>
      </c>
      <c r="C2" s="791"/>
      <c r="D2" s="791"/>
      <c r="E2" s="791"/>
      <c r="F2" s="791"/>
      <c r="G2" s="791"/>
      <c r="H2" s="791"/>
      <c r="I2" s="791"/>
      <c r="J2" s="791"/>
      <c r="K2" s="791"/>
      <c r="L2" s="791"/>
      <c r="M2" s="791"/>
      <c r="N2" s="791"/>
      <c r="O2" s="791"/>
      <c r="P2" s="791"/>
      <c r="Q2" s="791"/>
      <c r="R2" s="791"/>
      <c r="S2" s="791"/>
      <c r="T2" s="791"/>
      <c r="U2" s="791"/>
      <c r="V2" s="791"/>
      <c r="W2" s="791"/>
      <c r="X2" s="791"/>
      <c r="Y2" s="791"/>
      <c r="Z2" s="791"/>
      <c r="AA2" s="791"/>
      <c r="AB2" s="791"/>
      <c r="AC2" s="791"/>
      <c r="AD2" s="791"/>
      <c r="AE2" s="791"/>
      <c r="AF2" s="792"/>
      <c r="AG2" s="2"/>
      <c r="AH2" s="2"/>
      <c r="AI2" s="2"/>
      <c r="AJ2" s="401"/>
    </row>
    <row r="3" spans="1:36" ht="23.25" customHeight="1">
      <c r="A3" s="401"/>
      <c r="B3" s="796" t="s">
        <v>611</v>
      </c>
      <c r="C3" s="797"/>
      <c r="D3" s="798" t="s">
        <v>612</v>
      </c>
      <c r="E3" s="798"/>
      <c r="F3" s="798"/>
      <c r="G3" s="798"/>
      <c r="H3" s="798"/>
      <c r="I3" s="401"/>
      <c r="J3" s="401"/>
      <c r="K3" s="401"/>
      <c r="L3" s="401"/>
      <c r="M3" s="401"/>
      <c r="N3" s="401"/>
      <c r="O3" s="401"/>
      <c r="P3" s="2"/>
      <c r="Q3" s="2"/>
      <c r="R3" s="2"/>
      <c r="S3" s="2"/>
      <c r="T3" s="2"/>
      <c r="U3" s="2"/>
      <c r="V3" s="2"/>
      <c r="W3" s="2"/>
      <c r="X3" s="2"/>
      <c r="Y3" s="2"/>
      <c r="Z3" s="2"/>
      <c r="AA3" s="2"/>
      <c r="AB3" s="401"/>
      <c r="AC3" s="401"/>
      <c r="AD3" s="401"/>
      <c r="AE3" s="2"/>
      <c r="AF3" s="401"/>
      <c r="AG3" s="2"/>
      <c r="AH3" s="2"/>
      <c r="AI3" s="2"/>
      <c r="AJ3" s="401"/>
    </row>
    <row r="4" spans="1:36" ht="21" customHeight="1">
      <c r="A4" s="401"/>
      <c r="B4" s="401"/>
      <c r="C4" s="401"/>
      <c r="D4" s="799"/>
      <c r="E4" s="799"/>
      <c r="F4" s="799"/>
      <c r="G4" s="799"/>
      <c r="H4" s="799"/>
      <c r="I4" s="401"/>
      <c r="J4" s="401"/>
      <c r="K4" s="401"/>
      <c r="L4" s="401"/>
      <c r="M4" s="401"/>
      <c r="N4" s="401"/>
      <c r="O4" s="401"/>
      <c r="P4" s="2"/>
      <c r="Q4" s="2"/>
      <c r="R4" s="2"/>
      <c r="S4" s="2"/>
      <c r="T4" s="2"/>
      <c r="U4" s="2"/>
      <c r="V4" s="2"/>
      <c r="W4" s="2"/>
      <c r="X4" s="2"/>
      <c r="Y4" s="2"/>
      <c r="Z4" s="2"/>
      <c r="AA4" s="2"/>
      <c r="AB4" s="401"/>
      <c r="AC4" s="401"/>
      <c r="AD4" s="401"/>
      <c r="AE4" s="2"/>
      <c r="AF4" s="401"/>
      <c r="AG4" s="2"/>
      <c r="AH4" s="2"/>
      <c r="AI4" s="2"/>
      <c r="AJ4" s="401"/>
    </row>
    <row r="5" spans="1:36" ht="18" customHeight="1">
      <c r="A5" s="401"/>
      <c r="B5" s="401"/>
      <c r="C5" s="401"/>
      <c r="D5" s="401"/>
      <c r="E5" s="401"/>
      <c r="F5" s="401"/>
      <c r="G5" s="401"/>
      <c r="H5" s="401"/>
      <c r="I5" s="401"/>
      <c r="J5" s="401"/>
      <c r="K5" s="401"/>
      <c r="L5" s="401"/>
      <c r="M5" s="401"/>
      <c r="N5" s="401"/>
      <c r="O5" s="401"/>
      <c r="P5" s="2"/>
      <c r="Q5" s="2"/>
      <c r="R5" s="2"/>
      <c r="S5" s="2"/>
      <c r="T5" s="2"/>
      <c r="U5" s="2"/>
      <c r="V5" s="2"/>
      <c r="W5" s="2"/>
      <c r="X5" s="2"/>
      <c r="Y5" s="2"/>
      <c r="Z5" s="2"/>
      <c r="AA5" s="2"/>
      <c r="AB5" s="401"/>
      <c r="AC5" s="401"/>
      <c r="AD5" s="401"/>
      <c r="AE5" s="2"/>
      <c r="AF5" s="401"/>
      <c r="AG5" s="2"/>
      <c r="AH5" s="2"/>
      <c r="AI5" s="2"/>
      <c r="AJ5" s="401"/>
    </row>
    <row r="6" spans="1:36" ht="41.25" customHeight="1">
      <c r="A6" s="401"/>
      <c r="B6" s="404" t="s">
        <v>613</v>
      </c>
      <c r="C6" s="404" t="s">
        <v>65</v>
      </c>
      <c r="D6" s="404" t="s">
        <v>532</v>
      </c>
      <c r="E6" s="404" t="s">
        <v>402</v>
      </c>
      <c r="F6" s="404" t="s">
        <v>186</v>
      </c>
      <c r="G6" s="404" t="s">
        <v>495</v>
      </c>
      <c r="H6" s="404" t="s">
        <v>614</v>
      </c>
      <c r="I6" s="404" t="s">
        <v>615</v>
      </c>
      <c r="J6" s="404" t="s">
        <v>616</v>
      </c>
      <c r="K6" s="404" t="s">
        <v>617</v>
      </c>
      <c r="L6" s="404" t="s">
        <v>618</v>
      </c>
      <c r="M6" s="404" t="s">
        <v>42</v>
      </c>
      <c r="N6" s="404" t="s">
        <v>619</v>
      </c>
      <c r="O6" s="404" t="s">
        <v>620</v>
      </c>
      <c r="P6" s="404" t="s">
        <v>621</v>
      </c>
      <c r="Q6" s="404" t="s">
        <v>622</v>
      </c>
      <c r="R6" s="404" t="s">
        <v>623</v>
      </c>
      <c r="S6" s="404" t="s">
        <v>252</v>
      </c>
      <c r="T6" s="404" t="s">
        <v>624</v>
      </c>
      <c r="U6" s="404" t="s">
        <v>625</v>
      </c>
      <c r="V6" s="404" t="s">
        <v>626</v>
      </c>
      <c r="W6" s="404" t="s">
        <v>627</v>
      </c>
      <c r="X6" s="404" t="s">
        <v>628</v>
      </c>
      <c r="Y6" s="404" t="s">
        <v>629</v>
      </c>
      <c r="Z6" s="404" t="s">
        <v>630</v>
      </c>
      <c r="AA6" s="404" t="s">
        <v>168</v>
      </c>
      <c r="AB6" s="404" t="s">
        <v>592</v>
      </c>
      <c r="AC6" s="404" t="s">
        <v>631</v>
      </c>
      <c r="AD6" s="404" t="s">
        <v>88</v>
      </c>
      <c r="AE6" s="404" t="s">
        <v>204</v>
      </c>
      <c r="AF6" s="404" t="s">
        <v>45</v>
      </c>
      <c r="AG6" s="404" t="s">
        <v>134</v>
      </c>
      <c r="AH6" s="515" t="s">
        <v>632</v>
      </c>
      <c r="AI6" s="403"/>
      <c r="AJ6" s="401"/>
    </row>
    <row r="7" spans="1:36" ht="21.75" hidden="1" customHeight="1">
      <c r="A7" s="401"/>
      <c r="B7" s="510" t="s">
        <v>211</v>
      </c>
      <c r="C7" s="510"/>
      <c r="D7" s="510" t="s">
        <v>633</v>
      </c>
      <c r="E7" s="510" t="s">
        <v>223</v>
      </c>
      <c r="F7" s="510" t="s">
        <v>137</v>
      </c>
      <c r="G7" s="510" t="s">
        <v>220</v>
      </c>
      <c r="H7" s="510" t="s">
        <v>634</v>
      </c>
      <c r="I7" s="510"/>
      <c r="J7" s="510" t="s">
        <v>224</v>
      </c>
      <c r="K7" s="510" t="s">
        <v>635</v>
      </c>
      <c r="L7" s="510" t="s">
        <v>636</v>
      </c>
      <c r="M7" s="510" t="s">
        <v>42</v>
      </c>
      <c r="N7" s="510" t="s">
        <v>216</v>
      </c>
      <c r="O7" s="510" t="s">
        <v>555</v>
      </c>
      <c r="P7" s="510"/>
      <c r="Q7" s="510"/>
      <c r="R7" s="510"/>
      <c r="S7" s="510"/>
      <c r="T7" s="510"/>
      <c r="U7" s="510"/>
      <c r="V7" s="510"/>
      <c r="W7" s="510"/>
      <c r="X7" s="510"/>
      <c r="Y7" s="510"/>
      <c r="Z7" s="510"/>
      <c r="AA7" s="510"/>
      <c r="AB7" s="510" t="s">
        <v>226</v>
      </c>
      <c r="AC7" s="510" t="s">
        <v>227</v>
      </c>
      <c r="AD7" s="510" t="s">
        <v>228</v>
      </c>
      <c r="AE7" s="510" t="s">
        <v>230</v>
      </c>
      <c r="AF7" s="510" t="s">
        <v>229</v>
      </c>
      <c r="AG7" s="510" t="s">
        <v>232</v>
      </c>
      <c r="AH7" s="516" t="s">
        <v>231</v>
      </c>
      <c r="AI7" s="403"/>
      <c r="AJ7" s="401"/>
    </row>
    <row r="8" spans="1:36" ht="24" customHeight="1">
      <c r="A8" s="401"/>
      <c r="B8" s="405">
        <v>1</v>
      </c>
      <c r="C8" s="405" t="s">
        <v>637</v>
      </c>
      <c r="D8" s="406"/>
      <c r="E8" s="514"/>
      <c r="F8" s="110"/>
      <c r="G8" s="110"/>
      <c r="H8" s="407"/>
      <c r="I8" s="31"/>
      <c r="J8" s="406"/>
      <c r="K8" s="408"/>
      <c r="L8" s="110"/>
      <c r="M8" s="110"/>
      <c r="N8" s="110"/>
      <c r="O8" s="110"/>
      <c r="P8" s="409" t="str">
        <f>IFERROR(IF($J8&lt;6000,$H$22,IF(AND($J8&lt;=7999,$J8&gt;=6000),$H$23,IF(AND($J8&lt;=10999,$J8&gt;=8000),$H$24,IF(AND($J8&lt;=13999,$J8&gt;=11000),$H$25,IF(AND($J8&lt;=19999,$J8&gt;=14000),$H$26, Q8))))), "")</f>
        <v>&lt; 6,000</v>
      </c>
      <c r="Q8" s="409" t="str">
        <f>IFERROR(IF(AND(J8&lt;=24999, J8&gt;=20000), $H$27, IF(AND(J8&lt;=27999, J8&gt;=25000), $H$28, IF(J8&gt;=28000, $H$29, ""))), "")</f>
        <v/>
      </c>
      <c r="R8" s="410" t="str">
        <f>IF(L8="Yes", "Federal Standard with louvered sides (CEER)", "Federal Standard without louvered sides (CEER)")</f>
        <v>Federal Standard without louvered sides (CEER)</v>
      </c>
      <c r="S8" s="410" t="str">
        <f t="array" ref="S8">IFERROR(IF(AND(D8="Early Replacement", ISNUMBER(N8)), N8, INDEX($G$22:$L$53,MATCH(1,($G$22:$G$53=$K8)*($H$22:$H$53=$P8),0),IF($R8=$I$21,3,4))), "")</f>
        <v/>
      </c>
      <c r="T8" s="410" t="str">
        <f t="array" ref="T8">IFERROR(INDEX($G$22:$L$53,MATCH(1,($G$22:$G$53=$K8)*($H$22:$H$53=$P8),0),IF(R8=$I$21,5,6)), "")</f>
        <v/>
      </c>
      <c r="U8" s="411" t="str">
        <f t="shared" ref="U8:U15" si="0">IF(I8="", "", VLOOKUP(H8, $N$21:$W$34, IF(Z8=$O$20, 2, IF(Z8=$P$20, 3, IF(Z8=$Q$20, 4, IF(Z8=$R$20, 5, IF(Z8=$S$20, 6, IF(Z8=$T$20, 7, IF(Z8=$U$20, 8, IF(Z8=$V$20, 9, IF(Z8=$W$20, 10, 8))))))))), FALSE))</f>
        <v/>
      </c>
      <c r="V8" s="412" t="str">
        <f>IF(ISNUMBER(U8), $D$36, "")</f>
        <v/>
      </c>
      <c r="W8" s="412" t="str">
        <f t="shared" ref="W8:W15" si="1">IF(I8="", "", VLOOKUP(H8, $N$46:$W$59, IF(I8=$O$45, 2, IF(Z8=$P$45, 3, IF(Z8=$Q$45, 4, IF(Z8=$R$45, 5, IF(Z8=$S$45, 6, IF(Z8=$T$45, 7,IF(Z8=$U$45, 8,IF(Z8=$V$45,9,IF(Z8=$W$45,10, 8))))))))), FALSE))</f>
        <v/>
      </c>
      <c r="X8" s="409" t="str">
        <f t="shared" ref="X8:X15" si="2">IFERROR(ROUND($U8*V8*((1/$S8)-(1/$T8))*$J8/1000,4), "")</f>
        <v/>
      </c>
      <c r="Y8" s="413" t="str">
        <f t="shared" ref="Y8:Y15" si="3">IFERROR(ROUND($J8*((1/$S8)-(1/$T8))*$W8/1000,6),"")</f>
        <v/>
      </c>
      <c r="Z8" s="149" t="str">
        <f>IFERROR(VLOOKUP(I8, 'Lookup Tables'!$B$5:$C$2226, 2, FALSE), "")</f>
        <v/>
      </c>
      <c r="AA8" s="414">
        <f>$C$33</f>
        <v>9</v>
      </c>
      <c r="AB8" s="639" t="str">
        <f>IFERROR(ROUND(($J8*((1/$S8)-(1/$T8))/1000)*M8,6),"")</f>
        <v/>
      </c>
      <c r="AC8" s="639" t="str">
        <f t="shared" ref="AC8:AC15" si="4">IFERROR($Y8*$M8,"")</f>
        <v/>
      </c>
      <c r="AD8" s="415" t="str">
        <f t="shared" ref="AD8:AD15" si="5">IFERROR($X8*$M8,"")</f>
        <v/>
      </c>
      <c r="AE8" s="415" t="str">
        <f t="shared" ref="AE8:AE15" si="6">IF(E8="","",E8)</f>
        <v/>
      </c>
      <c r="AF8" s="416" t="str">
        <f t="shared" ref="AF8:AF15" si="7">IFERROR(ROUND(IF(OR(M8="", AD8=""), "", M8*$D$20),2),"")</f>
        <v/>
      </c>
      <c r="AG8" s="414" t="s">
        <v>638</v>
      </c>
      <c r="AH8" s="517" t="s">
        <v>639</v>
      </c>
      <c r="AI8" s="403"/>
      <c r="AJ8" s="401"/>
    </row>
    <row r="9" spans="1:36" ht="24" customHeight="1">
      <c r="A9" s="401"/>
      <c r="B9" s="405">
        <v>2</v>
      </c>
      <c r="C9" s="405" t="s">
        <v>637</v>
      </c>
      <c r="D9" s="406"/>
      <c r="E9" s="514"/>
      <c r="F9" s="110"/>
      <c r="G9" s="110"/>
      <c r="H9" s="407"/>
      <c r="I9" s="31"/>
      <c r="J9" s="406"/>
      <c r="K9" s="408"/>
      <c r="L9" s="110"/>
      <c r="M9" s="110"/>
      <c r="N9" s="110"/>
      <c r="O9" s="110"/>
      <c r="P9" s="409" t="str">
        <f t="shared" ref="P9:P15" si="8">IFERROR(IF($J9&lt;6000,$H$22,IF(AND($J9&lt;=7999,$J9&gt;=6000),$H$23,IF(AND($J9&lt;=10999,$J9&gt;=8000),$H$24,IF(AND($J9&lt;=13999,$J9&gt;=11000),$H$25,IF(AND($J9&lt;=19999,$J9&gt;=14000),$H$26, Q9))))), "")</f>
        <v>&lt; 6,000</v>
      </c>
      <c r="Q9" s="409" t="str">
        <f t="shared" ref="Q9:Q15" si="9">IFERROR(IF(AND(J9&lt;=24999, J9&gt;=20000), $H$27, IF(AND(J9&lt;=27999, J9&gt;=25000), $H$28, IF(J9&gt;=28000, $H$29, ""))), "")</f>
        <v/>
      </c>
      <c r="R9" s="410" t="str">
        <f t="shared" ref="R9:R15" si="10">IF(L9="Yes", "Federal Standard with louvered sides (CEER)", "Federal Standard without louvered sides (CEER)")</f>
        <v>Federal Standard without louvered sides (CEER)</v>
      </c>
      <c r="S9" s="410" t="str">
        <f t="array" ref="S9">IFERROR(IF(AND(D9="Early Replacement", ISNUMBER(N9)), N9, INDEX($G$22:$L$53,MATCH(1,($G$22:$G$53=$K9)*($H$22:$H$53=$P9),0),IF($R9=$I$21,3,4))), "")</f>
        <v/>
      </c>
      <c r="T9" s="410" t="str">
        <f t="array" ref="T9">IFERROR(INDEX($G$22:$L$51,MATCH(1,($G$22:$G$51=$K9)*($H$22:$H$51=$P9),0),IF(R9=$I$21,5,6)), "")</f>
        <v/>
      </c>
      <c r="U9" s="411" t="str">
        <f t="shared" si="0"/>
        <v/>
      </c>
      <c r="V9" s="412" t="str">
        <f t="shared" ref="V9:V15" si="11">IF(ISNUMBER(U9), $D$36, "")</f>
        <v/>
      </c>
      <c r="W9" s="412" t="str">
        <f t="shared" si="1"/>
        <v/>
      </c>
      <c r="X9" s="409" t="str">
        <f t="shared" si="2"/>
        <v/>
      </c>
      <c r="Y9" s="413" t="str">
        <f t="shared" si="3"/>
        <v/>
      </c>
      <c r="Z9" s="149" t="str">
        <f>IFERROR(VLOOKUP(I9, 'Lookup Tables'!$B$5:$C$2226, 2, FALSE), "")</f>
        <v/>
      </c>
      <c r="AA9" s="414">
        <f t="shared" ref="AA9:AA15" si="12">$C$33</f>
        <v>9</v>
      </c>
      <c r="AB9" s="639"/>
      <c r="AC9" s="639" t="str">
        <f t="shared" si="4"/>
        <v/>
      </c>
      <c r="AD9" s="415" t="str">
        <f t="shared" si="5"/>
        <v/>
      </c>
      <c r="AE9" s="415" t="str">
        <f t="shared" si="6"/>
        <v/>
      </c>
      <c r="AF9" s="416" t="str">
        <f t="shared" si="7"/>
        <v/>
      </c>
      <c r="AG9" s="414" t="s">
        <v>638</v>
      </c>
      <c r="AH9" s="517" t="s">
        <v>639</v>
      </c>
      <c r="AI9" s="403"/>
      <c r="AJ9" s="401"/>
    </row>
    <row r="10" spans="1:36" ht="24" customHeight="1">
      <c r="A10" s="401"/>
      <c r="B10" s="405">
        <v>3</v>
      </c>
      <c r="C10" s="405" t="s">
        <v>637</v>
      </c>
      <c r="D10" s="406"/>
      <c r="E10" s="514"/>
      <c r="F10" s="110"/>
      <c r="G10" s="110"/>
      <c r="H10" s="407"/>
      <c r="I10" s="31"/>
      <c r="J10" s="406"/>
      <c r="K10" s="408"/>
      <c r="L10" s="110"/>
      <c r="M10" s="110"/>
      <c r="N10" s="110"/>
      <c r="O10" s="110"/>
      <c r="P10" s="409" t="str">
        <f t="shared" si="8"/>
        <v>&lt; 6,000</v>
      </c>
      <c r="Q10" s="409" t="str">
        <f t="shared" si="9"/>
        <v/>
      </c>
      <c r="R10" s="410" t="str">
        <f t="shared" si="10"/>
        <v>Federal Standard without louvered sides (CEER)</v>
      </c>
      <c r="S10" s="410" t="str">
        <f t="array" ref="S10">IFERROR(IF(AND(D10="Early Replacement", ISNUMBER(N10)), N10, INDEX($G$22:$L$53,MATCH(1,($G$22:$G$53=$K10)*($H$22:$H$53=$P10),0),IF($R10=$I$21,3,4))), "")</f>
        <v/>
      </c>
      <c r="T10" s="410" t="str">
        <f t="array" ref="T10">IFERROR(INDEX($G$22:$L$51,MATCH(1,($G$22:$G$51=$K10)*($H$22:$H$51=$P10),0),IF(R10=$I$21,5,6)), "")</f>
        <v/>
      </c>
      <c r="U10" s="411" t="str">
        <f t="shared" si="0"/>
        <v/>
      </c>
      <c r="V10" s="412" t="str">
        <f t="shared" si="11"/>
        <v/>
      </c>
      <c r="W10" s="412" t="str">
        <f t="shared" si="1"/>
        <v/>
      </c>
      <c r="X10" s="409" t="str">
        <f t="shared" si="2"/>
        <v/>
      </c>
      <c r="Y10" s="413" t="str">
        <f t="shared" si="3"/>
        <v/>
      </c>
      <c r="Z10" s="149" t="str">
        <f>IFERROR(VLOOKUP(I10, 'Lookup Tables'!$B$5:$C$2226, 2, FALSE), "")</f>
        <v/>
      </c>
      <c r="AA10" s="414">
        <f t="shared" si="12"/>
        <v>9</v>
      </c>
      <c r="AB10" s="639"/>
      <c r="AC10" s="639" t="str">
        <f t="shared" si="4"/>
        <v/>
      </c>
      <c r="AD10" s="415" t="str">
        <f t="shared" si="5"/>
        <v/>
      </c>
      <c r="AE10" s="415" t="str">
        <f t="shared" si="6"/>
        <v/>
      </c>
      <c r="AF10" s="416" t="str">
        <f t="shared" si="7"/>
        <v/>
      </c>
      <c r="AG10" s="414" t="s">
        <v>638</v>
      </c>
      <c r="AH10" s="517" t="s">
        <v>639</v>
      </c>
      <c r="AI10" s="403"/>
      <c r="AJ10" s="401"/>
    </row>
    <row r="11" spans="1:36" ht="24" customHeight="1">
      <c r="A11" s="401"/>
      <c r="B11" s="417">
        <v>4</v>
      </c>
      <c r="C11" s="405" t="s">
        <v>637</v>
      </c>
      <c r="D11" s="406"/>
      <c r="E11" s="514"/>
      <c r="F11" s="110"/>
      <c r="G11" s="110"/>
      <c r="H11" s="407"/>
      <c r="I11" s="31"/>
      <c r="J11" s="406"/>
      <c r="K11" s="408"/>
      <c r="L11" s="110"/>
      <c r="M11" s="110"/>
      <c r="N11" s="110"/>
      <c r="O11" s="110"/>
      <c r="P11" s="409" t="str">
        <f t="shared" si="8"/>
        <v>&lt; 6,000</v>
      </c>
      <c r="Q11" s="409" t="str">
        <f t="shared" si="9"/>
        <v/>
      </c>
      <c r="R11" s="410" t="str">
        <f t="shared" si="10"/>
        <v>Federal Standard without louvered sides (CEER)</v>
      </c>
      <c r="S11" s="410" t="str">
        <f t="array" ref="S11">IFERROR(IF(AND(D11="Early Replacement", ISNUMBER(N11)), N11, INDEX($G$22:$L$53,MATCH(1,($G$22:$G$53=$K11)*($H$22:$H$53=$P11),0),IF($R11=$I$21,3,4))), "")</f>
        <v/>
      </c>
      <c r="T11" s="410" t="str">
        <f t="array" ref="T11">IFERROR(INDEX($G$22:$L$51,MATCH(1,($G$22:$G$51=$K11)*($H$22:$H$51=$P11),0),IF(R11=$I$21,5,6)), "")</f>
        <v/>
      </c>
      <c r="U11" s="411" t="str">
        <f t="shared" si="0"/>
        <v/>
      </c>
      <c r="V11" s="412" t="str">
        <f t="shared" si="11"/>
        <v/>
      </c>
      <c r="W11" s="412" t="str">
        <f t="shared" si="1"/>
        <v/>
      </c>
      <c r="X11" s="409" t="str">
        <f t="shared" si="2"/>
        <v/>
      </c>
      <c r="Y11" s="413" t="str">
        <f t="shared" si="3"/>
        <v/>
      </c>
      <c r="Z11" s="149" t="str">
        <f>IFERROR(VLOOKUP(I11, 'Lookup Tables'!$B$5:$C$2226, 2, FALSE), "")</f>
        <v/>
      </c>
      <c r="AA11" s="414">
        <f t="shared" si="12"/>
        <v>9</v>
      </c>
      <c r="AB11" s="639"/>
      <c r="AC11" s="639" t="str">
        <f t="shared" si="4"/>
        <v/>
      </c>
      <c r="AD11" s="415" t="str">
        <f t="shared" si="5"/>
        <v/>
      </c>
      <c r="AE11" s="415" t="str">
        <f t="shared" si="6"/>
        <v/>
      </c>
      <c r="AF11" s="416" t="str">
        <f t="shared" si="7"/>
        <v/>
      </c>
      <c r="AG11" s="414" t="s">
        <v>638</v>
      </c>
      <c r="AH11" s="517" t="s">
        <v>639</v>
      </c>
      <c r="AI11" s="403"/>
      <c r="AJ11" s="401"/>
    </row>
    <row r="12" spans="1:36" ht="24" customHeight="1">
      <c r="A12" s="401"/>
      <c r="B12" s="405">
        <v>5</v>
      </c>
      <c r="C12" s="405" t="s">
        <v>637</v>
      </c>
      <c r="D12" s="406"/>
      <c r="E12" s="514"/>
      <c r="F12" s="110"/>
      <c r="G12" s="110"/>
      <c r="H12" s="407"/>
      <c r="I12" s="31"/>
      <c r="J12" s="406"/>
      <c r="K12" s="408"/>
      <c r="L12" s="110"/>
      <c r="M12" s="110"/>
      <c r="N12" s="110"/>
      <c r="O12" s="110"/>
      <c r="P12" s="409" t="str">
        <f t="shared" si="8"/>
        <v>&lt; 6,000</v>
      </c>
      <c r="Q12" s="409" t="str">
        <f t="shared" si="9"/>
        <v/>
      </c>
      <c r="R12" s="410" t="str">
        <f t="shared" si="10"/>
        <v>Federal Standard without louvered sides (CEER)</v>
      </c>
      <c r="S12" s="410" t="str">
        <f t="array" ref="S12">IFERROR(IF(AND(D12="Early Replacement", ISNUMBER(N12)), N12, INDEX($G$22:$L$53,MATCH(1,($G$22:$G$53=$K12)*($H$22:$H$53=$P12),0),IF($R12=$I$21,3,4))), "")</f>
        <v/>
      </c>
      <c r="T12" s="410" t="str">
        <f t="array" ref="T12">IFERROR(INDEX($G$22:$L$51,MATCH(1,($G$22:$G$51=$K12)*($H$22:$H$51=$P12),0),IF(R12=$I$21,5,6)), "")</f>
        <v/>
      </c>
      <c r="U12" s="411" t="str">
        <f t="shared" si="0"/>
        <v/>
      </c>
      <c r="V12" s="412" t="str">
        <f t="shared" si="11"/>
        <v/>
      </c>
      <c r="W12" s="412" t="str">
        <f t="shared" si="1"/>
        <v/>
      </c>
      <c r="X12" s="409" t="str">
        <f t="shared" si="2"/>
        <v/>
      </c>
      <c r="Y12" s="413" t="str">
        <f t="shared" si="3"/>
        <v/>
      </c>
      <c r="Z12" s="149" t="str">
        <f>IFERROR(VLOOKUP(I12, 'Lookup Tables'!$B$5:$C$2226, 2, FALSE), "")</f>
        <v/>
      </c>
      <c r="AA12" s="414">
        <f t="shared" si="12"/>
        <v>9</v>
      </c>
      <c r="AB12" s="639"/>
      <c r="AC12" s="639" t="str">
        <f t="shared" si="4"/>
        <v/>
      </c>
      <c r="AD12" s="415" t="str">
        <f t="shared" si="5"/>
        <v/>
      </c>
      <c r="AE12" s="415" t="str">
        <f t="shared" si="6"/>
        <v/>
      </c>
      <c r="AF12" s="416" t="str">
        <f t="shared" si="7"/>
        <v/>
      </c>
      <c r="AG12" s="414" t="s">
        <v>638</v>
      </c>
      <c r="AH12" s="517" t="s">
        <v>639</v>
      </c>
      <c r="AI12" s="403"/>
      <c r="AJ12" s="401"/>
    </row>
    <row r="13" spans="1:36" ht="24" customHeight="1">
      <c r="A13" s="401"/>
      <c r="B13" s="405">
        <v>6</v>
      </c>
      <c r="C13" s="405" t="s">
        <v>637</v>
      </c>
      <c r="D13" s="406"/>
      <c r="E13" s="514"/>
      <c r="F13" s="110"/>
      <c r="G13" s="110"/>
      <c r="H13" s="407"/>
      <c r="I13" s="31"/>
      <c r="J13" s="406"/>
      <c r="K13" s="408"/>
      <c r="L13" s="110"/>
      <c r="M13" s="110"/>
      <c r="N13" s="110"/>
      <c r="O13" s="110"/>
      <c r="P13" s="409" t="str">
        <f t="shared" si="8"/>
        <v>&lt; 6,000</v>
      </c>
      <c r="Q13" s="409" t="str">
        <f t="shared" si="9"/>
        <v/>
      </c>
      <c r="R13" s="410" t="str">
        <f t="shared" si="10"/>
        <v>Federal Standard without louvered sides (CEER)</v>
      </c>
      <c r="S13" s="410" t="str">
        <f t="array" ref="S13">IFERROR(IF(AND(D13="Early Replacement", ISNUMBER(N13)), N13, INDEX($G$22:$L$53,MATCH(1,($G$22:$G$53=$K13)*($H$22:$H$53=$P13),0),IF($R13=$I$21,3,4))), "")</f>
        <v/>
      </c>
      <c r="T13" s="410" t="str">
        <f t="array" ref="T13">IFERROR(INDEX($G$22:$L$51,MATCH(1,($G$22:$G$51=$K13)*($H$22:$H$51=$P13),0),IF(R13=$I$21,5,6)), "")</f>
        <v/>
      </c>
      <c r="U13" s="411" t="str">
        <f t="shared" si="0"/>
        <v/>
      </c>
      <c r="V13" s="412" t="str">
        <f t="shared" si="11"/>
        <v/>
      </c>
      <c r="W13" s="412" t="str">
        <f t="shared" si="1"/>
        <v/>
      </c>
      <c r="X13" s="409" t="str">
        <f t="shared" si="2"/>
        <v/>
      </c>
      <c r="Y13" s="413" t="str">
        <f t="shared" si="3"/>
        <v/>
      </c>
      <c r="Z13" s="149" t="str">
        <f>IFERROR(VLOOKUP(I13, 'Lookup Tables'!$B$5:$C$2226, 2, FALSE), "")</f>
        <v/>
      </c>
      <c r="AA13" s="414">
        <f t="shared" si="12"/>
        <v>9</v>
      </c>
      <c r="AB13" s="639"/>
      <c r="AC13" s="639" t="str">
        <f t="shared" si="4"/>
        <v/>
      </c>
      <c r="AD13" s="415" t="str">
        <f t="shared" si="5"/>
        <v/>
      </c>
      <c r="AE13" s="415" t="str">
        <f t="shared" si="6"/>
        <v/>
      </c>
      <c r="AF13" s="416" t="str">
        <f t="shared" si="7"/>
        <v/>
      </c>
      <c r="AG13" s="414" t="s">
        <v>638</v>
      </c>
      <c r="AH13" s="517" t="s">
        <v>639</v>
      </c>
      <c r="AI13" s="403"/>
      <c r="AJ13" s="401"/>
    </row>
    <row r="14" spans="1:36" ht="24" customHeight="1">
      <c r="A14" s="401"/>
      <c r="B14" s="405">
        <v>7</v>
      </c>
      <c r="C14" s="405" t="s">
        <v>637</v>
      </c>
      <c r="D14" s="406"/>
      <c r="E14" s="514"/>
      <c r="F14" s="110"/>
      <c r="G14" s="110"/>
      <c r="H14" s="407"/>
      <c r="I14" s="31"/>
      <c r="J14" s="406"/>
      <c r="K14" s="408"/>
      <c r="L14" s="110"/>
      <c r="M14" s="110"/>
      <c r="N14" s="110"/>
      <c r="O14" s="110"/>
      <c r="P14" s="409" t="str">
        <f t="shared" si="8"/>
        <v>&lt; 6,000</v>
      </c>
      <c r="Q14" s="409" t="str">
        <f t="shared" si="9"/>
        <v/>
      </c>
      <c r="R14" s="410" t="str">
        <f t="shared" si="10"/>
        <v>Federal Standard without louvered sides (CEER)</v>
      </c>
      <c r="S14" s="410" t="str">
        <f t="array" ref="S14">IFERROR(IF(AND(D14="Early Replacement", ISNUMBER(N14)), N14, INDEX($G$22:$L$53,MATCH(1,($G$22:$G$53=$K14)*($H$22:$H$53=$P14),0),IF($R14=$I$21,3,4))), "")</f>
        <v/>
      </c>
      <c r="T14" s="410" t="str">
        <f t="array" ref="T14">IFERROR(INDEX($G$22:$L$51,MATCH(1,($G$22:$G$51=$K14)*($H$22:$H$51=$P14),0),IF(R14=$I$21,5,6)), "")</f>
        <v/>
      </c>
      <c r="U14" s="411" t="str">
        <f t="shared" si="0"/>
        <v/>
      </c>
      <c r="V14" s="412" t="str">
        <f t="shared" si="11"/>
        <v/>
      </c>
      <c r="W14" s="412" t="str">
        <f t="shared" si="1"/>
        <v/>
      </c>
      <c r="X14" s="409" t="str">
        <f t="shared" si="2"/>
        <v/>
      </c>
      <c r="Y14" s="413" t="str">
        <f t="shared" si="3"/>
        <v/>
      </c>
      <c r="Z14" s="149" t="str">
        <f>IFERROR(VLOOKUP(I14, 'Lookup Tables'!$B$5:$C$2226, 2, FALSE), "")</f>
        <v/>
      </c>
      <c r="AA14" s="414">
        <f t="shared" si="12"/>
        <v>9</v>
      </c>
      <c r="AB14" s="639"/>
      <c r="AC14" s="639" t="str">
        <f t="shared" si="4"/>
        <v/>
      </c>
      <c r="AD14" s="415" t="str">
        <f t="shared" si="5"/>
        <v/>
      </c>
      <c r="AE14" s="415" t="str">
        <f t="shared" si="6"/>
        <v/>
      </c>
      <c r="AF14" s="416" t="str">
        <f t="shared" si="7"/>
        <v/>
      </c>
      <c r="AG14" s="414" t="s">
        <v>638</v>
      </c>
      <c r="AH14" s="517" t="s">
        <v>639</v>
      </c>
      <c r="AI14" s="403"/>
      <c r="AJ14" s="401"/>
    </row>
    <row r="15" spans="1:36" ht="24" customHeight="1">
      <c r="A15" s="401"/>
      <c r="B15" s="405">
        <v>8</v>
      </c>
      <c r="C15" s="405" t="s">
        <v>637</v>
      </c>
      <c r="D15" s="406"/>
      <c r="E15" s="514"/>
      <c r="F15" s="110"/>
      <c r="G15" s="110"/>
      <c r="H15" s="407"/>
      <c r="I15" s="31"/>
      <c r="J15" s="406"/>
      <c r="K15" s="408"/>
      <c r="L15" s="110"/>
      <c r="M15" s="110"/>
      <c r="N15" s="110"/>
      <c r="O15" s="110"/>
      <c r="P15" s="409" t="str">
        <f t="shared" si="8"/>
        <v>&lt; 6,000</v>
      </c>
      <c r="Q15" s="409" t="str">
        <f t="shared" si="9"/>
        <v/>
      </c>
      <c r="R15" s="410" t="str">
        <f t="shared" si="10"/>
        <v>Federal Standard without louvered sides (CEER)</v>
      </c>
      <c r="S15" s="410" t="str">
        <f t="array" ref="S15">IFERROR(IF(AND(D15="Early Replacement", ISNUMBER(N15)), N15, INDEX($G$22:$L$53,MATCH(1,($G$22:$G$53=$K15)*($H$22:$H$53=$P15),0),IF($R15=$I$21,3,4))), "")</f>
        <v/>
      </c>
      <c r="T15" s="410" t="str">
        <f t="array" ref="T15">IFERROR(INDEX($G$22:$L$51,MATCH(1,($G$22:$G$51=$K15)*($H$22:$H$51=$P15),0),IF(R15=$I$21,5,6)), "")</f>
        <v/>
      </c>
      <c r="U15" s="411" t="str">
        <f t="shared" si="0"/>
        <v/>
      </c>
      <c r="V15" s="412" t="str">
        <f t="shared" si="11"/>
        <v/>
      </c>
      <c r="W15" s="412" t="str">
        <f t="shared" si="1"/>
        <v/>
      </c>
      <c r="X15" s="409" t="str">
        <f t="shared" si="2"/>
        <v/>
      </c>
      <c r="Y15" s="413" t="str">
        <f t="shared" si="3"/>
        <v/>
      </c>
      <c r="Z15" s="149" t="str">
        <f>IFERROR(VLOOKUP(I15, 'Lookup Tables'!$B$5:$C$2226, 2, FALSE), "")</f>
        <v/>
      </c>
      <c r="AA15" s="414">
        <f t="shared" si="12"/>
        <v>9</v>
      </c>
      <c r="AB15" s="639"/>
      <c r="AC15" s="639" t="str">
        <f t="shared" si="4"/>
        <v/>
      </c>
      <c r="AD15" s="415" t="str">
        <f t="shared" si="5"/>
        <v/>
      </c>
      <c r="AE15" s="415" t="str">
        <f t="shared" si="6"/>
        <v/>
      </c>
      <c r="AF15" s="416" t="str">
        <f t="shared" si="7"/>
        <v/>
      </c>
      <c r="AG15" s="414" t="s">
        <v>638</v>
      </c>
      <c r="AH15" s="517" t="s">
        <v>639</v>
      </c>
      <c r="AI15" s="403"/>
      <c r="AJ15" s="401"/>
    </row>
    <row r="16" spans="1:36" hidden="1">
      <c r="A16" s="2"/>
      <c r="Z16" t="str">
        <f>IFERROR(VLOOKUP(I16, 'Lookup Tables'!$B$5:$C$2226, 2, FALSE), "")</f>
        <v/>
      </c>
      <c r="AD16" s="418"/>
      <c r="AE16" s="418"/>
      <c r="AI16" s="403"/>
      <c r="AJ16" s="401"/>
    </row>
    <row r="17" spans="1:36" ht="15" hidden="1" customHeight="1">
      <c r="A17" s="2"/>
      <c r="M17" s="6">
        <f>SUM(M8:M15)</f>
        <v>0</v>
      </c>
      <c r="N17" s="6"/>
      <c r="O17" s="6"/>
      <c r="P17" s="6"/>
      <c r="R17" s="6"/>
      <c r="S17" s="6"/>
      <c r="T17" s="6"/>
      <c r="U17" s="6"/>
      <c r="V17" s="6"/>
      <c r="W17" s="6"/>
      <c r="X17" s="6"/>
      <c r="Z17" t="str">
        <f>IFERROR(VLOOKUP(I17, 'Lookup Tables'!$B$5:$C$2226, 2, FALSE), "")</f>
        <v/>
      </c>
      <c r="AB17" s="6"/>
      <c r="AC17" s="419">
        <f>SUM(AC8:AC15)</f>
        <v>0</v>
      </c>
      <c r="AD17" s="419">
        <f>SUM(AD8:AD15)</f>
        <v>0</v>
      </c>
      <c r="AE17" s="419"/>
      <c r="AF17" s="370">
        <f>SUM(AF8:AF15)</f>
        <v>0</v>
      </c>
      <c r="AI17" s="403"/>
      <c r="AJ17" s="401"/>
    </row>
    <row r="18" spans="1:36" ht="15.75" hidden="1" customHeight="1" thickBot="1">
      <c r="A18" s="2"/>
      <c r="L18" s="420"/>
      <c r="W18" s="421"/>
      <c r="X18" s="421"/>
      <c r="Z18" t="str">
        <f>IFERROR(VLOOKUP(I18, 'Lookup Tables'!$B$5:$C$2226, 2, FALSE), "")</f>
        <v/>
      </c>
      <c r="AI18" s="403"/>
      <c r="AJ18" s="401"/>
    </row>
    <row r="19" spans="1:36" ht="30" hidden="1" customHeight="1">
      <c r="A19" s="2"/>
      <c r="C19" s="454" t="s">
        <v>640</v>
      </c>
      <c r="D19" s="454" t="s">
        <v>45</v>
      </c>
      <c r="E19" s="377"/>
      <c r="G19" s="800" t="s">
        <v>641</v>
      </c>
      <c r="H19" s="801"/>
      <c r="I19" s="801"/>
      <c r="J19" s="801"/>
      <c r="K19" s="801"/>
      <c r="L19" s="802"/>
      <c r="N19" s="803" t="s">
        <v>642</v>
      </c>
      <c r="O19" s="804"/>
      <c r="P19" s="804"/>
      <c r="Q19" s="804"/>
      <c r="R19" s="804"/>
      <c r="S19" s="804"/>
      <c r="T19" s="804"/>
      <c r="U19" s="804"/>
      <c r="V19" s="804"/>
      <c r="W19" s="805"/>
      <c r="Y19" t="str">
        <f>IFERROR(VLOOKUP(I19, 'Lookup Tables'!$B$5:$C$2226, 2, FALSE), "")</f>
        <v/>
      </c>
      <c r="Z19" t="s">
        <v>630</v>
      </c>
      <c r="AI19" s="403"/>
      <c r="AJ19" s="401"/>
    </row>
    <row r="20" spans="1:36" ht="15.75" hidden="1" customHeight="1">
      <c r="A20" s="2"/>
      <c r="C20" s="423" t="s">
        <v>643</v>
      </c>
      <c r="D20" s="424">
        <v>10</v>
      </c>
      <c r="E20" s="513"/>
      <c r="G20" s="425"/>
      <c r="H20" s="426"/>
      <c r="I20" s="456" t="s">
        <v>644</v>
      </c>
      <c r="J20" s="456" t="s">
        <v>645</v>
      </c>
      <c r="K20" s="456" t="s">
        <v>644</v>
      </c>
      <c r="L20" s="427" t="s">
        <v>645</v>
      </c>
      <c r="N20" s="428" t="s">
        <v>646</v>
      </c>
      <c r="O20" s="429" t="s">
        <v>647</v>
      </c>
      <c r="P20" s="429" t="s">
        <v>648</v>
      </c>
      <c r="Q20" s="429" t="s">
        <v>649</v>
      </c>
      <c r="R20" s="429" t="s">
        <v>650</v>
      </c>
      <c r="S20" s="429" t="s">
        <v>651</v>
      </c>
      <c r="T20" s="429" t="s">
        <v>652</v>
      </c>
      <c r="U20" s="430" t="s">
        <v>653</v>
      </c>
      <c r="V20" s="430" t="s">
        <v>654</v>
      </c>
      <c r="W20" s="431" t="s">
        <v>655</v>
      </c>
      <c r="Y20" t="str">
        <f>IFERROR(VLOOKUP(I20, 'Lookup Tables'!$B$5:$C$2226, 2, FALSE), "")</f>
        <v/>
      </c>
      <c r="Z20" t="s">
        <v>647</v>
      </c>
      <c r="AI20" s="403"/>
      <c r="AJ20" s="401"/>
    </row>
    <row r="21" spans="1:36" ht="45" hidden="1" customHeight="1">
      <c r="A21" s="2"/>
      <c r="G21" s="432" t="s">
        <v>656</v>
      </c>
      <c r="H21" s="433" t="s">
        <v>657</v>
      </c>
      <c r="I21" s="434" t="s">
        <v>658</v>
      </c>
      <c r="J21" s="434" t="s">
        <v>659</v>
      </c>
      <c r="K21" s="434" t="s">
        <v>660</v>
      </c>
      <c r="L21" s="435" t="s">
        <v>661</v>
      </c>
      <c r="N21" s="436" t="s">
        <v>363</v>
      </c>
      <c r="O21" s="437">
        <v>640</v>
      </c>
      <c r="P21" s="437">
        <v>440</v>
      </c>
      <c r="Q21" s="437">
        <v>369</v>
      </c>
      <c r="R21" s="437">
        <v>478</v>
      </c>
      <c r="S21" s="437">
        <v>657</v>
      </c>
      <c r="T21" s="437">
        <v>734</v>
      </c>
      <c r="U21" s="437">
        <v>594</v>
      </c>
      <c r="V21" s="438">
        <v>533</v>
      </c>
      <c r="W21" s="439">
        <v>595</v>
      </c>
      <c r="Y21" t="str">
        <f>IFERROR(VLOOKUP(I21, 'Lookup Tables'!$B$5:$C$2226, 2, FALSE), "")</f>
        <v/>
      </c>
      <c r="Z21" t="s">
        <v>648</v>
      </c>
      <c r="AI21" s="403"/>
      <c r="AJ21" s="401"/>
    </row>
    <row r="22" spans="1:36" ht="30" hidden="1" customHeight="1">
      <c r="A22" s="2"/>
      <c r="C22" s="440" t="s">
        <v>662</v>
      </c>
      <c r="D22" s="464" t="s">
        <v>663</v>
      </c>
      <c r="E22" s="107"/>
      <c r="G22" s="441" t="s">
        <v>664</v>
      </c>
      <c r="H22" s="56" t="s">
        <v>665</v>
      </c>
      <c r="I22" s="441">
        <v>11</v>
      </c>
      <c r="J22" s="441">
        <v>10</v>
      </c>
      <c r="K22" s="441">
        <v>12.1</v>
      </c>
      <c r="L22" s="441">
        <v>11</v>
      </c>
      <c r="N22" s="442" t="s">
        <v>239</v>
      </c>
      <c r="O22" s="437">
        <v>267</v>
      </c>
      <c r="P22" s="437">
        <v>163</v>
      </c>
      <c r="Q22" s="437">
        <v>139</v>
      </c>
      <c r="R22" s="437">
        <v>185</v>
      </c>
      <c r="S22" s="437">
        <v>310</v>
      </c>
      <c r="T22" s="437">
        <v>345</v>
      </c>
      <c r="U22" s="437">
        <v>273</v>
      </c>
      <c r="V22" s="438">
        <v>217</v>
      </c>
      <c r="W22" s="439">
        <v>239</v>
      </c>
      <c r="Y22" t="str">
        <f>IFERROR(VLOOKUP(I22, 'Lookup Tables'!$B$5:$C$2226, 2, FALSE), "")</f>
        <v/>
      </c>
      <c r="Z22" t="s">
        <v>649</v>
      </c>
      <c r="AI22" s="403"/>
      <c r="AJ22" s="401"/>
    </row>
    <row r="23" spans="1:36" ht="15" hidden="1" customHeight="1">
      <c r="A23" s="2"/>
      <c r="C23" s="443" t="s">
        <v>664</v>
      </c>
      <c r="D23" s="39" t="s">
        <v>639</v>
      </c>
      <c r="E23" s="120"/>
      <c r="G23" s="441" t="s">
        <v>664</v>
      </c>
      <c r="H23" s="441" t="s">
        <v>666</v>
      </c>
      <c r="I23" s="441">
        <v>11</v>
      </c>
      <c r="J23" s="441">
        <v>10</v>
      </c>
      <c r="K23" s="441">
        <v>12.1</v>
      </c>
      <c r="L23" s="441">
        <v>11</v>
      </c>
      <c r="N23" s="442" t="s">
        <v>517</v>
      </c>
      <c r="O23" s="437">
        <v>654</v>
      </c>
      <c r="P23" s="437">
        <v>542</v>
      </c>
      <c r="Q23" s="437">
        <v>542</v>
      </c>
      <c r="R23" s="437">
        <v>636</v>
      </c>
      <c r="S23" s="437">
        <v>453</v>
      </c>
      <c r="T23" s="437">
        <v>536</v>
      </c>
      <c r="U23" s="437">
        <v>638</v>
      </c>
      <c r="V23" s="438">
        <v>434</v>
      </c>
      <c r="W23" s="439">
        <v>442</v>
      </c>
      <c r="Y23" t="str">
        <f>IFERROR(VLOOKUP(I23, 'Lookup Tables'!$B$5:$C$2226, 2, FALSE), "")</f>
        <v/>
      </c>
      <c r="Z23" t="s">
        <v>650</v>
      </c>
      <c r="AI23" s="403"/>
      <c r="AJ23" s="401"/>
    </row>
    <row r="24" spans="1:36" ht="15" hidden="1" customHeight="1">
      <c r="A24" s="2"/>
      <c r="C24" s="443" t="s">
        <v>667</v>
      </c>
      <c r="D24" s="39" t="s">
        <v>668</v>
      </c>
      <c r="E24" s="120"/>
      <c r="G24" s="441" t="s">
        <v>664</v>
      </c>
      <c r="H24" s="441" t="s">
        <v>669</v>
      </c>
      <c r="I24" s="441">
        <v>10.9</v>
      </c>
      <c r="J24" s="441">
        <v>9.6</v>
      </c>
      <c r="K24" s="441">
        <v>12</v>
      </c>
      <c r="L24" s="441">
        <v>10.6</v>
      </c>
      <c r="N24" s="442" t="s">
        <v>670</v>
      </c>
      <c r="O24" s="437">
        <v>1030</v>
      </c>
      <c r="P24" s="437">
        <v>977</v>
      </c>
      <c r="Q24" s="437">
        <v>977</v>
      </c>
      <c r="R24" s="437">
        <v>1038</v>
      </c>
      <c r="S24" s="437">
        <v>892</v>
      </c>
      <c r="T24" s="437">
        <v>1059</v>
      </c>
      <c r="U24" s="437">
        <v>788</v>
      </c>
      <c r="V24" s="438">
        <v>1022</v>
      </c>
      <c r="W24" s="439">
        <v>1013</v>
      </c>
      <c r="Y24" t="str">
        <f>IFERROR(VLOOKUP(I24, 'Lookup Tables'!$B$5:$C$2226, 2, FALSE), "")</f>
        <v/>
      </c>
      <c r="Z24" t="s">
        <v>651</v>
      </c>
      <c r="AI24" s="403"/>
      <c r="AJ24" s="401"/>
    </row>
    <row r="25" spans="1:36" ht="15" hidden="1" customHeight="1">
      <c r="A25" s="2"/>
      <c r="C25" s="443" t="s">
        <v>671</v>
      </c>
      <c r="G25" s="441" t="s">
        <v>664</v>
      </c>
      <c r="H25" s="441" t="s">
        <v>672</v>
      </c>
      <c r="I25" s="441">
        <v>10.9</v>
      </c>
      <c r="J25" s="441">
        <v>9.5</v>
      </c>
      <c r="K25" s="441">
        <v>12</v>
      </c>
      <c r="L25" s="441">
        <v>10.5</v>
      </c>
      <c r="N25" s="442" t="s">
        <v>673</v>
      </c>
      <c r="O25" s="437">
        <v>477</v>
      </c>
      <c r="P25" s="437">
        <v>397</v>
      </c>
      <c r="Q25" s="437">
        <v>350</v>
      </c>
      <c r="R25" s="437">
        <v>481</v>
      </c>
      <c r="S25" s="437">
        <v>540</v>
      </c>
      <c r="T25" s="437">
        <v>684</v>
      </c>
      <c r="U25" s="437">
        <v>511</v>
      </c>
      <c r="V25" s="438">
        <v>467</v>
      </c>
      <c r="W25" s="439">
        <v>476</v>
      </c>
      <c r="Y25" t="str">
        <f>IFERROR(VLOOKUP(I25, 'Lookup Tables'!$B$5:$C$2226, 2, FALSE), "")</f>
        <v/>
      </c>
      <c r="Z25" t="s">
        <v>652</v>
      </c>
      <c r="AI25" s="403"/>
      <c r="AJ25" s="401"/>
    </row>
    <row r="26" spans="1:36" ht="15" hidden="1" customHeight="1">
      <c r="A26" s="2"/>
      <c r="C26" s="443" t="s">
        <v>674</v>
      </c>
      <c r="G26" s="441" t="s">
        <v>664</v>
      </c>
      <c r="H26" s="441" t="s">
        <v>675</v>
      </c>
      <c r="I26" s="441">
        <v>10.7</v>
      </c>
      <c r="J26" s="441">
        <v>9.3000000000000007</v>
      </c>
      <c r="K26" s="441">
        <v>11.8</v>
      </c>
      <c r="L26" s="441">
        <v>10.199999999999999</v>
      </c>
      <c r="N26" s="442" t="s">
        <v>676</v>
      </c>
      <c r="O26" s="437">
        <v>570</v>
      </c>
      <c r="P26" s="437">
        <v>361</v>
      </c>
      <c r="Q26" s="437">
        <v>309</v>
      </c>
      <c r="R26" s="437">
        <v>411</v>
      </c>
      <c r="S26" s="437">
        <v>616</v>
      </c>
      <c r="T26" s="437">
        <v>682</v>
      </c>
      <c r="U26" s="437">
        <v>530</v>
      </c>
      <c r="V26" s="438">
        <v>445</v>
      </c>
      <c r="W26" s="439">
        <v>478</v>
      </c>
      <c r="Y26" t="str">
        <f>IFERROR(VLOOKUP(I26, 'Lookup Tables'!$B$5:$C$2226, 2, FALSE), "")</f>
        <v/>
      </c>
      <c r="Z26" t="s">
        <v>653</v>
      </c>
      <c r="AI26" s="403"/>
      <c r="AJ26" s="401"/>
    </row>
    <row r="27" spans="1:36" ht="15" hidden="1" customHeight="1">
      <c r="A27" s="2"/>
      <c r="G27" s="441" t="s">
        <v>664</v>
      </c>
      <c r="H27" s="441" t="s">
        <v>677</v>
      </c>
      <c r="I27" s="441">
        <v>9.4</v>
      </c>
      <c r="J27" s="441">
        <v>9.4</v>
      </c>
      <c r="K27" s="441">
        <v>10.3</v>
      </c>
      <c r="L27" s="441">
        <v>10.3</v>
      </c>
      <c r="N27" s="442" t="s">
        <v>678</v>
      </c>
      <c r="O27" s="437">
        <v>753</v>
      </c>
      <c r="P27" s="437">
        <v>516</v>
      </c>
      <c r="Q27" s="437">
        <v>455</v>
      </c>
      <c r="R27" s="437">
        <v>607</v>
      </c>
      <c r="S27" s="437">
        <v>820</v>
      </c>
      <c r="T27" s="437">
        <v>1087</v>
      </c>
      <c r="U27" s="437">
        <v>706</v>
      </c>
      <c r="V27" s="438">
        <v>629</v>
      </c>
      <c r="W27" s="439">
        <v>685</v>
      </c>
      <c r="Y27" t="str">
        <f>IFERROR(VLOOKUP(I27, 'Lookup Tables'!$B$5:$C$2226, 2, FALSE), "")</f>
        <v/>
      </c>
      <c r="Z27" t="s">
        <v>654</v>
      </c>
      <c r="AI27" s="403"/>
      <c r="AJ27" s="401"/>
    </row>
    <row r="28" spans="1:36" ht="15" hidden="1" customHeight="1">
      <c r="A28" s="2"/>
      <c r="C28" s="464" t="s">
        <v>532</v>
      </c>
      <c r="G28" s="441" t="s">
        <v>664</v>
      </c>
      <c r="H28" s="441" t="s">
        <v>679</v>
      </c>
      <c r="I28" s="444">
        <v>9.4</v>
      </c>
      <c r="J28" s="441">
        <v>9.4</v>
      </c>
      <c r="K28" s="441">
        <v>10.3</v>
      </c>
      <c r="L28" s="441">
        <v>10.3</v>
      </c>
      <c r="N28" s="442" t="s">
        <v>680</v>
      </c>
      <c r="O28" s="437">
        <v>1386</v>
      </c>
      <c r="P28" s="437">
        <v>1205</v>
      </c>
      <c r="Q28" s="437">
        <v>1084</v>
      </c>
      <c r="R28" s="437">
        <v>1392</v>
      </c>
      <c r="S28" s="437">
        <v>1523</v>
      </c>
      <c r="T28" s="437">
        <v>1732</v>
      </c>
      <c r="U28" s="437">
        <v>1478</v>
      </c>
      <c r="V28" s="438">
        <v>1348</v>
      </c>
      <c r="W28" s="439">
        <v>1384</v>
      </c>
      <c r="Y28" t="str">
        <f>IFERROR(VLOOKUP(I28, 'Lookup Tables'!$B$5:$C$2226, 2, FALSE), "")</f>
        <v/>
      </c>
      <c r="Z28" t="s">
        <v>655</v>
      </c>
      <c r="AI28" s="403"/>
      <c r="AJ28" s="401"/>
    </row>
    <row r="29" spans="1:36" ht="15" hidden="1" customHeight="1">
      <c r="A29" s="2"/>
      <c r="C29" s="445" t="s">
        <v>533</v>
      </c>
      <c r="G29" s="441" t="s">
        <v>664</v>
      </c>
      <c r="H29" s="441" t="s">
        <v>681</v>
      </c>
      <c r="I29" s="441">
        <v>9</v>
      </c>
      <c r="J29" s="441">
        <v>9.4</v>
      </c>
      <c r="K29" s="441">
        <v>9.9</v>
      </c>
      <c r="L29" s="441">
        <v>10.3</v>
      </c>
      <c r="N29" s="442" t="s">
        <v>682</v>
      </c>
      <c r="O29" s="437">
        <v>1395</v>
      </c>
      <c r="P29" s="437">
        <v>654</v>
      </c>
      <c r="Q29" s="437">
        <v>577</v>
      </c>
      <c r="R29" s="437">
        <v>769</v>
      </c>
      <c r="S29" s="437">
        <v>1482</v>
      </c>
      <c r="T29" s="437">
        <v>1647</v>
      </c>
      <c r="U29" s="437">
        <v>1176</v>
      </c>
      <c r="V29" s="438">
        <v>991</v>
      </c>
      <c r="W29" s="439">
        <v>1052</v>
      </c>
      <c r="Y29" t="str">
        <f>IFERROR(VLOOKUP(I29, 'Lookup Tables'!$B$5:$C$2226, 2, FALSE), "")</f>
        <v/>
      </c>
      <c r="AI29" s="403"/>
      <c r="AJ29" s="401"/>
    </row>
    <row r="30" spans="1:36" ht="15" hidden="1" customHeight="1">
      <c r="A30" s="2"/>
      <c r="C30" s="445" t="s">
        <v>535</v>
      </c>
      <c r="G30" s="441" t="s">
        <v>667</v>
      </c>
      <c r="H30" s="441" t="s">
        <v>665</v>
      </c>
      <c r="I30" s="441">
        <v>9.8000000000000007</v>
      </c>
      <c r="J30" s="441">
        <v>9.3000000000000007</v>
      </c>
      <c r="K30" s="441">
        <v>10.8</v>
      </c>
      <c r="L30" s="441">
        <v>10.199999999999999</v>
      </c>
      <c r="N30" s="442" t="s">
        <v>683</v>
      </c>
      <c r="O30" s="437">
        <v>458</v>
      </c>
      <c r="P30" s="437">
        <v>213</v>
      </c>
      <c r="Q30" s="437">
        <v>323</v>
      </c>
      <c r="R30" s="437">
        <v>412</v>
      </c>
      <c r="S30" s="437">
        <v>565</v>
      </c>
      <c r="T30" s="437">
        <v>704</v>
      </c>
      <c r="U30" s="437">
        <v>721</v>
      </c>
      <c r="V30" s="438">
        <v>500</v>
      </c>
      <c r="W30" s="439">
        <v>466</v>
      </c>
      <c r="Y30" t="str">
        <f>IFERROR(VLOOKUP(I30, 'Lookup Tables'!$B$5:$C$2226, 2, FALSE), "")</f>
        <v/>
      </c>
      <c r="AI30" s="403"/>
      <c r="AJ30" s="401"/>
    </row>
    <row r="31" spans="1:36" ht="15" hidden="1" customHeight="1">
      <c r="A31" s="2"/>
      <c r="G31" s="441" t="s">
        <v>667</v>
      </c>
      <c r="H31" s="441" t="s">
        <v>666</v>
      </c>
      <c r="I31" s="441">
        <v>9.8000000000000007</v>
      </c>
      <c r="J31" s="441">
        <v>9.3000000000000007</v>
      </c>
      <c r="K31" s="441">
        <v>10.8</v>
      </c>
      <c r="L31" s="441">
        <v>10.199999999999999</v>
      </c>
      <c r="N31" s="442" t="s">
        <v>684</v>
      </c>
      <c r="O31" s="437">
        <v>550</v>
      </c>
      <c r="P31" s="437">
        <v>429</v>
      </c>
      <c r="Q31" s="437">
        <v>374</v>
      </c>
      <c r="R31" s="437">
        <v>513</v>
      </c>
      <c r="S31" s="437">
        <v>590</v>
      </c>
      <c r="T31" s="437">
        <v>791</v>
      </c>
      <c r="U31" s="437">
        <v>632</v>
      </c>
      <c r="V31" s="438">
        <v>522</v>
      </c>
      <c r="W31" s="446">
        <v>594</v>
      </c>
      <c r="X31" s="421"/>
      <c r="Y31" t="str">
        <f>IFERROR(VLOOKUP(I31, 'Lookup Tables'!$B$5:$C$2226, 2, FALSE), "")</f>
        <v/>
      </c>
      <c r="AI31" s="403"/>
      <c r="AJ31" s="401"/>
    </row>
    <row r="32" spans="1:36" ht="15" hidden="1" customHeight="1">
      <c r="A32" s="2"/>
      <c r="C32" s="422" t="s">
        <v>168</v>
      </c>
      <c r="G32" s="441" t="s">
        <v>667</v>
      </c>
      <c r="H32" s="441" t="s">
        <v>669</v>
      </c>
      <c r="I32" s="441">
        <v>9.8000000000000007</v>
      </c>
      <c r="J32" s="441">
        <v>9.3000000000000007</v>
      </c>
      <c r="K32" s="441">
        <v>10.8</v>
      </c>
      <c r="L32" s="441">
        <v>10.199999999999999</v>
      </c>
      <c r="N32" s="442" t="s">
        <v>685</v>
      </c>
      <c r="O32" s="437">
        <v>735</v>
      </c>
      <c r="P32" s="437">
        <v>535</v>
      </c>
      <c r="Q32" s="437">
        <v>464</v>
      </c>
      <c r="R32" s="437">
        <v>620</v>
      </c>
      <c r="S32" s="437">
        <v>742</v>
      </c>
      <c r="T32" s="437">
        <v>911</v>
      </c>
      <c r="U32" s="437">
        <v>816</v>
      </c>
      <c r="V32" s="438">
        <v>603</v>
      </c>
      <c r="W32" s="446">
        <v>648</v>
      </c>
      <c r="X32" s="421"/>
      <c r="Y32" t="str">
        <f>IFERROR(VLOOKUP(I32, 'Lookup Tables'!$B$5:$C$2226, 2, FALSE), "")</f>
        <v/>
      </c>
      <c r="AI32" s="403"/>
      <c r="AJ32" s="401"/>
    </row>
    <row r="33" spans="1:36" ht="15.75" hidden="1" customHeight="1">
      <c r="A33" s="2"/>
      <c r="C33" s="430">
        <v>9</v>
      </c>
      <c r="D33" s="1" t="s">
        <v>686</v>
      </c>
      <c r="G33" s="441" t="s">
        <v>667</v>
      </c>
      <c r="H33" s="441" t="s">
        <v>672</v>
      </c>
      <c r="I33" s="441">
        <v>9.8000000000000007</v>
      </c>
      <c r="J33" s="441">
        <v>9.3000000000000007</v>
      </c>
      <c r="K33" s="441">
        <v>10.8</v>
      </c>
      <c r="L33" s="441">
        <v>10.199999999999999</v>
      </c>
      <c r="N33" s="442" t="s">
        <v>687</v>
      </c>
      <c r="O33" s="437">
        <v>174</v>
      </c>
      <c r="P33" s="437">
        <v>97</v>
      </c>
      <c r="Q33" s="437">
        <v>86</v>
      </c>
      <c r="R33" s="437">
        <v>114</v>
      </c>
      <c r="S33" s="437">
        <v>235</v>
      </c>
      <c r="T33" s="437">
        <v>346</v>
      </c>
      <c r="U33" s="437">
        <v>192</v>
      </c>
      <c r="V33" s="438">
        <v>130</v>
      </c>
      <c r="W33" s="446">
        <v>178</v>
      </c>
      <c r="X33" s="421"/>
      <c r="Y33" t="str">
        <f>IFERROR(VLOOKUP(I33, 'Lookup Tables'!$B$5:$C$2226, 2, FALSE), "")</f>
        <v/>
      </c>
      <c r="Z33" t="s">
        <v>688</v>
      </c>
      <c r="AB33" s="494"/>
      <c r="AI33" s="403"/>
      <c r="AJ33" s="401"/>
    </row>
    <row r="34" spans="1:36" ht="48" hidden="1" customHeight="1" thickBot="1">
      <c r="A34" s="2"/>
      <c r="G34" s="441" t="s">
        <v>667</v>
      </c>
      <c r="H34" s="441" t="s">
        <v>675</v>
      </c>
      <c r="I34" s="441">
        <v>9.8000000000000007</v>
      </c>
      <c r="J34" s="441">
        <v>8.6999999999999993</v>
      </c>
      <c r="K34" s="441">
        <v>10.8</v>
      </c>
      <c r="L34" s="441">
        <v>9.6</v>
      </c>
      <c r="N34" s="447" t="s">
        <v>689</v>
      </c>
      <c r="O34" s="448">
        <v>3130</v>
      </c>
      <c r="P34" s="448">
        <v>3048</v>
      </c>
      <c r="Q34" s="448">
        <v>3010</v>
      </c>
      <c r="R34" s="448">
        <v>3080</v>
      </c>
      <c r="S34" s="448">
        <v>3163</v>
      </c>
      <c r="T34" s="448">
        <v>3200</v>
      </c>
      <c r="U34" s="448">
        <v>3116</v>
      </c>
      <c r="V34" s="449">
        <v>3094</v>
      </c>
      <c r="W34" s="450">
        <v>3135</v>
      </c>
      <c r="X34" s="421"/>
      <c r="Y34" t="str">
        <f>IFERROR(VLOOKUP(I34, 'Lookup Tables'!$B$5:$C$2226, 2, FALSE), "")</f>
        <v/>
      </c>
      <c r="Z34" t="s">
        <v>690</v>
      </c>
      <c r="AA34" t="s">
        <v>691</v>
      </c>
      <c r="AB34" s="511"/>
      <c r="AI34" s="403"/>
      <c r="AJ34" s="401"/>
    </row>
    <row r="35" spans="1:36" ht="15" hidden="1" customHeight="1">
      <c r="A35" s="2"/>
      <c r="D35" s="464" t="s">
        <v>692</v>
      </c>
      <c r="E35" s="107"/>
      <c r="G35" s="441" t="s">
        <v>667</v>
      </c>
      <c r="H35" s="441" t="s">
        <v>677</v>
      </c>
      <c r="I35" s="441">
        <v>9.3000000000000007</v>
      </c>
      <c r="J35" s="441">
        <v>8.6999999999999993</v>
      </c>
      <c r="K35" s="441">
        <v>10.199999999999999</v>
      </c>
      <c r="L35" s="441">
        <v>9.6</v>
      </c>
      <c r="V35" s="421"/>
      <c r="W35" s="421"/>
      <c r="X35" s="421"/>
      <c r="Y35" t="str">
        <f>IFERROR(VLOOKUP(I35, 'Lookup Tables'!$B$5:$C$2226, 2, FALSE), "")</f>
        <v/>
      </c>
      <c r="Z35" t="s">
        <v>647</v>
      </c>
      <c r="AA35">
        <v>178.25</v>
      </c>
      <c r="AB35" s="512"/>
      <c r="AI35" s="403"/>
      <c r="AJ35" s="401"/>
    </row>
    <row r="36" spans="1:36" ht="15" hidden="1" customHeight="1">
      <c r="A36" s="2"/>
      <c r="D36" s="39">
        <v>0.31</v>
      </c>
      <c r="E36" s="120"/>
      <c r="G36" s="441" t="s">
        <v>667</v>
      </c>
      <c r="H36" s="56" t="s">
        <v>679</v>
      </c>
      <c r="I36" s="441">
        <v>9.3000000000000007</v>
      </c>
      <c r="J36" s="441">
        <v>8.6999999999999993</v>
      </c>
      <c r="K36" s="441">
        <v>10.199999999999999</v>
      </c>
      <c r="L36" s="441">
        <v>9.6</v>
      </c>
      <c r="V36" s="421"/>
      <c r="W36" s="421"/>
      <c r="X36" s="421"/>
      <c r="Y36" t="str">
        <f>IFERROR(VLOOKUP(I36, 'Lookup Tables'!$B$5:$C$2226, 2, FALSE), "")</f>
        <v/>
      </c>
      <c r="Z36" t="s">
        <v>693</v>
      </c>
      <c r="AA36">
        <v>103.23</v>
      </c>
      <c r="AB36" s="512"/>
      <c r="AI36" s="403"/>
      <c r="AJ36" s="401"/>
    </row>
    <row r="37" spans="1:36" ht="15" hidden="1" customHeight="1">
      <c r="A37" s="2"/>
      <c r="G37" s="441" t="s">
        <v>667</v>
      </c>
      <c r="H37" s="56" t="s">
        <v>681</v>
      </c>
      <c r="I37" s="441">
        <v>9.3000000000000007</v>
      </c>
      <c r="J37" s="441">
        <v>8.6999999999999993</v>
      </c>
      <c r="K37" s="441">
        <v>10.199999999999999</v>
      </c>
      <c r="L37" s="441">
        <v>9.6</v>
      </c>
      <c r="V37" s="421"/>
      <c r="W37" s="421"/>
      <c r="X37" s="421"/>
      <c r="Y37" t="str">
        <f>IFERROR(VLOOKUP(I37, 'Lookup Tables'!$B$5:$C$2226, 2, FALSE), "")</f>
        <v/>
      </c>
      <c r="Z37" t="s">
        <v>649</v>
      </c>
      <c r="AA37">
        <v>63.86</v>
      </c>
      <c r="AB37" s="512"/>
      <c r="AI37" s="403"/>
      <c r="AJ37" s="401"/>
    </row>
    <row r="38" spans="1:36" ht="15" hidden="1" customHeight="1">
      <c r="A38" s="2"/>
      <c r="G38" s="441" t="s">
        <v>671</v>
      </c>
      <c r="H38" s="441" t="s">
        <v>665</v>
      </c>
      <c r="I38" s="441">
        <v>9.5</v>
      </c>
      <c r="J38" s="441">
        <v>9.5</v>
      </c>
      <c r="K38" s="441">
        <v>10.5</v>
      </c>
      <c r="L38" s="441">
        <v>10.5</v>
      </c>
      <c r="V38" s="421"/>
      <c r="W38" s="421"/>
      <c r="X38" s="421"/>
      <c r="Y38" t="str">
        <f>IFERROR(VLOOKUP(I38, 'Lookup Tables'!$B$5:$C$2226, 2, FALSE), "")</f>
        <v/>
      </c>
      <c r="Z38" t="s">
        <v>650</v>
      </c>
      <c r="AA38">
        <v>145.08000000000001</v>
      </c>
      <c r="AB38" s="512"/>
      <c r="AI38" s="403"/>
      <c r="AJ38" s="401"/>
    </row>
    <row r="39" spans="1:36" ht="15" hidden="1" customHeight="1">
      <c r="A39" s="2"/>
      <c r="G39" s="441" t="s">
        <v>671</v>
      </c>
      <c r="H39" s="441" t="s">
        <v>666</v>
      </c>
      <c r="I39" s="441">
        <v>9.5</v>
      </c>
      <c r="J39" s="441">
        <v>9.5</v>
      </c>
      <c r="K39" s="441">
        <v>10.5</v>
      </c>
      <c r="L39" s="441">
        <v>10.5</v>
      </c>
      <c r="V39" s="421"/>
      <c r="W39" s="421"/>
      <c r="X39" s="421"/>
      <c r="Y39" t="str">
        <f>IFERROR(VLOOKUP(I39, 'Lookup Tables'!$B$5:$C$2226, 2, FALSE), "")</f>
        <v/>
      </c>
      <c r="Z39" t="s">
        <v>651</v>
      </c>
      <c r="AA39">
        <v>226.60999999999999</v>
      </c>
      <c r="AB39" s="512"/>
      <c r="AI39" s="403"/>
      <c r="AJ39" s="401"/>
    </row>
    <row r="40" spans="1:36" ht="15" hidden="1" customHeight="1">
      <c r="A40" s="2"/>
      <c r="G40" s="441" t="s">
        <v>671</v>
      </c>
      <c r="H40" s="441" t="s">
        <v>669</v>
      </c>
      <c r="I40" s="441">
        <v>9.5</v>
      </c>
      <c r="J40" s="441">
        <v>9.5</v>
      </c>
      <c r="K40" s="441">
        <v>10.5</v>
      </c>
      <c r="L40" s="441">
        <v>10.5</v>
      </c>
      <c r="V40" s="421"/>
      <c r="W40" s="421"/>
      <c r="X40" s="421"/>
      <c r="Y40" t="str">
        <f>IFERROR(VLOOKUP(I40, 'Lookup Tables'!$B$5:$C$2226, 2, FALSE), "")</f>
        <v/>
      </c>
      <c r="Z40" t="s">
        <v>652</v>
      </c>
      <c r="AA40">
        <v>242.10999999999999</v>
      </c>
      <c r="AB40" s="512"/>
      <c r="AI40" s="403"/>
      <c r="AJ40" s="401"/>
    </row>
    <row r="41" spans="1:36" ht="15" hidden="1" customHeight="1">
      <c r="A41" s="2"/>
      <c r="G41" s="441" t="s">
        <v>671</v>
      </c>
      <c r="H41" s="441" t="s">
        <v>672</v>
      </c>
      <c r="I41" s="441">
        <v>9.5</v>
      </c>
      <c r="J41" s="441">
        <v>9.5</v>
      </c>
      <c r="K41" s="441">
        <v>10.5</v>
      </c>
      <c r="L41" s="441">
        <v>10.5</v>
      </c>
      <c r="V41" s="421"/>
      <c r="W41" s="421"/>
      <c r="X41" s="421"/>
      <c r="Y41" t="str">
        <f>IFERROR(VLOOKUP(I41, 'Lookup Tables'!$B$5:$C$2226, 2, FALSE), "")</f>
        <v/>
      </c>
      <c r="Z41" t="s">
        <v>653</v>
      </c>
      <c r="AA41">
        <v>168.64</v>
      </c>
      <c r="AB41" s="512"/>
      <c r="AI41" s="403"/>
      <c r="AJ41" s="401"/>
    </row>
    <row r="42" spans="1:36" ht="15" hidden="1" customHeight="1">
      <c r="A42" s="2"/>
      <c r="G42" s="441" t="s">
        <v>671</v>
      </c>
      <c r="H42" s="441" t="s">
        <v>675</v>
      </c>
      <c r="I42" s="441">
        <v>9.5</v>
      </c>
      <c r="J42" s="441">
        <v>9.5</v>
      </c>
      <c r="K42" s="441">
        <v>10.5</v>
      </c>
      <c r="L42" s="441">
        <v>10.5</v>
      </c>
      <c r="V42" s="421"/>
      <c r="W42" s="421"/>
      <c r="X42" s="421"/>
      <c r="Y42" t="str">
        <f>IFERROR(VLOOKUP(I42, 'Lookup Tables'!$B$5:$C$2226, 2, FALSE), "")</f>
        <v/>
      </c>
      <c r="Z42" t="s">
        <v>654</v>
      </c>
      <c r="AA42">
        <v>146.94</v>
      </c>
      <c r="AB42" s="512"/>
      <c r="AI42" s="403"/>
      <c r="AJ42" s="401"/>
    </row>
    <row r="43" spans="1:36" ht="15.75" hidden="1" customHeight="1" thickBot="1">
      <c r="A43" s="2"/>
      <c r="G43" s="441" t="s">
        <v>671</v>
      </c>
      <c r="H43" s="441" t="s">
        <v>677</v>
      </c>
      <c r="I43" s="441">
        <v>9.5</v>
      </c>
      <c r="J43" s="441">
        <v>9.5</v>
      </c>
      <c r="K43" s="441">
        <v>10.5</v>
      </c>
      <c r="L43" s="441">
        <v>10.5</v>
      </c>
      <c r="V43" s="421"/>
      <c r="W43" s="421"/>
      <c r="X43" s="421"/>
      <c r="Y43" t="str">
        <f>IFERROR(VLOOKUP(I43, 'Lookup Tables'!$B$5:$C$2226, 2, FALSE), "")</f>
        <v/>
      </c>
      <c r="Z43" t="s">
        <v>655</v>
      </c>
      <c r="AA43">
        <v>173.29</v>
      </c>
      <c r="AB43" s="512"/>
      <c r="AI43" s="403"/>
      <c r="AJ43" s="401"/>
    </row>
    <row r="44" spans="1:36" ht="15" hidden="1" customHeight="1">
      <c r="A44" s="2"/>
      <c r="G44" s="441" t="s">
        <v>671</v>
      </c>
      <c r="H44" s="56" t="s">
        <v>679</v>
      </c>
      <c r="I44" s="441">
        <v>9.5</v>
      </c>
      <c r="J44" s="441">
        <v>9.5</v>
      </c>
      <c r="K44" s="441">
        <v>10.5</v>
      </c>
      <c r="L44" s="441">
        <v>10.5</v>
      </c>
      <c r="N44" s="793" t="s">
        <v>694</v>
      </c>
      <c r="O44" s="794"/>
      <c r="P44" s="794"/>
      <c r="Q44" s="794"/>
      <c r="R44" s="794"/>
      <c r="S44" s="794"/>
      <c r="T44" s="794"/>
      <c r="U44" s="794"/>
      <c r="V44" s="794"/>
      <c r="W44" s="795"/>
      <c r="X44" s="421"/>
      <c r="Y44" t="str">
        <f>IFERROR(VLOOKUP(I44, 'Lookup Tables'!$B$5:$C$2226, 2, FALSE), "")</f>
        <v/>
      </c>
      <c r="AI44" s="403"/>
      <c r="AJ44" s="401"/>
    </row>
    <row r="45" spans="1:36" ht="15" hidden="1" customHeight="1">
      <c r="A45" s="2"/>
      <c r="G45" s="441" t="s">
        <v>671</v>
      </c>
      <c r="H45" s="56" t="s">
        <v>681</v>
      </c>
      <c r="I45" s="441">
        <v>9.5</v>
      </c>
      <c r="J45" s="441">
        <v>9.5</v>
      </c>
      <c r="K45" s="441">
        <v>10.5</v>
      </c>
      <c r="L45" s="441">
        <v>10.5</v>
      </c>
      <c r="N45" s="451" t="s">
        <v>646</v>
      </c>
      <c r="O45" s="430" t="s">
        <v>647</v>
      </c>
      <c r="P45" s="430" t="s">
        <v>648</v>
      </c>
      <c r="Q45" s="430" t="s">
        <v>649</v>
      </c>
      <c r="R45" s="430" t="s">
        <v>650</v>
      </c>
      <c r="S45" s="430" t="s">
        <v>651</v>
      </c>
      <c r="T45" s="430" t="s">
        <v>652</v>
      </c>
      <c r="U45" s="430" t="s">
        <v>653</v>
      </c>
      <c r="V45" s="438" t="s">
        <v>654</v>
      </c>
      <c r="W45" s="446" t="s">
        <v>655</v>
      </c>
      <c r="X45" s="421"/>
      <c r="Y45" t="str">
        <f>IFERROR(VLOOKUP(I45, 'Lookup Tables'!$B$5:$C$2226, 2, FALSE), "")</f>
        <v/>
      </c>
      <c r="AI45" s="403"/>
      <c r="AJ45" s="401"/>
    </row>
    <row r="46" spans="1:36" ht="15" hidden="1" customHeight="1">
      <c r="A46" s="2"/>
      <c r="G46" s="441" t="s">
        <v>674</v>
      </c>
      <c r="H46" s="441" t="s">
        <v>665</v>
      </c>
      <c r="I46" s="441">
        <v>10.4</v>
      </c>
      <c r="J46" s="441">
        <v>10.4</v>
      </c>
      <c r="K46" s="441">
        <v>11.4</v>
      </c>
      <c r="L46" s="441">
        <v>11.4</v>
      </c>
      <c r="N46" s="442" t="s">
        <v>363</v>
      </c>
      <c r="O46" s="438">
        <v>0.48</v>
      </c>
      <c r="P46" s="438">
        <v>0.4</v>
      </c>
      <c r="Q46" s="438">
        <v>0.37</v>
      </c>
      <c r="R46" s="438">
        <v>0.38</v>
      </c>
      <c r="S46" s="438">
        <v>0.48</v>
      </c>
      <c r="T46" s="438">
        <v>0.51</v>
      </c>
      <c r="U46" s="438">
        <v>0.48</v>
      </c>
      <c r="V46" s="438">
        <v>0.45</v>
      </c>
      <c r="W46" s="446">
        <v>0.49</v>
      </c>
      <c r="X46" s="421"/>
      <c r="Y46" t="str">
        <f>IFERROR(VLOOKUP(I46, 'Lookup Tables'!$B$5:$C$2226, 2, FALSE), "")</f>
        <v/>
      </c>
      <c r="AI46" s="403"/>
      <c r="AJ46" s="401"/>
    </row>
    <row r="47" spans="1:36" ht="15" hidden="1" customHeight="1">
      <c r="A47" s="2"/>
      <c r="G47" s="441" t="s">
        <v>674</v>
      </c>
      <c r="H47" s="441" t="s">
        <v>666</v>
      </c>
      <c r="I47" s="441">
        <v>10.4</v>
      </c>
      <c r="J47" s="441">
        <v>10.4</v>
      </c>
      <c r="K47" s="441">
        <v>11.4</v>
      </c>
      <c r="L47" s="441">
        <v>11.4</v>
      </c>
      <c r="N47" s="442" t="s">
        <v>239</v>
      </c>
      <c r="O47" s="438">
        <v>0.12</v>
      </c>
      <c r="P47" s="438">
        <v>0.09</v>
      </c>
      <c r="Q47" s="438">
        <v>7.0000000000000007E-2</v>
      </c>
      <c r="R47" s="438">
        <v>0.09</v>
      </c>
      <c r="S47" s="438">
        <v>0.18</v>
      </c>
      <c r="T47" s="438">
        <v>0.19</v>
      </c>
      <c r="U47" s="438">
        <v>0.18</v>
      </c>
      <c r="V47" s="438">
        <v>0.13</v>
      </c>
      <c r="W47" s="439">
        <v>0.15</v>
      </c>
      <c r="Y47" t="str">
        <f>IFERROR(VLOOKUP(I47, 'Lookup Tables'!$B$5:$C$2226, 2, FALSE), "")</f>
        <v/>
      </c>
      <c r="AI47" s="403"/>
      <c r="AJ47" s="401"/>
    </row>
    <row r="48" spans="1:36" ht="15" hidden="1" customHeight="1">
      <c r="A48" s="2"/>
      <c r="G48" s="441" t="s">
        <v>674</v>
      </c>
      <c r="H48" s="441" t="s">
        <v>669</v>
      </c>
      <c r="I48" s="441">
        <v>10.4</v>
      </c>
      <c r="J48" s="441">
        <v>10.4</v>
      </c>
      <c r="K48" s="441">
        <v>11.4</v>
      </c>
      <c r="L48" s="441">
        <v>11.4</v>
      </c>
      <c r="N48" s="442" t="s">
        <v>517</v>
      </c>
      <c r="O48" s="438">
        <v>0.33</v>
      </c>
      <c r="P48" s="438">
        <v>0.26</v>
      </c>
      <c r="Q48" s="438">
        <v>0.26</v>
      </c>
      <c r="R48" s="438">
        <v>0.27</v>
      </c>
      <c r="S48" s="438">
        <v>0.24</v>
      </c>
      <c r="T48" s="438">
        <v>0.26</v>
      </c>
      <c r="U48" s="438">
        <v>0.27</v>
      </c>
      <c r="V48" s="438">
        <v>0.21</v>
      </c>
      <c r="W48" s="439">
        <v>0.24</v>
      </c>
      <c r="Y48" t="str">
        <f>IFERROR(VLOOKUP(I48, 'Lookup Tables'!$B$5:$C$2226, 2, FALSE), "")</f>
        <v/>
      </c>
      <c r="AI48" s="403"/>
      <c r="AJ48" s="401"/>
    </row>
    <row r="49" spans="1:36" ht="15" hidden="1" customHeight="1">
      <c r="A49" s="2"/>
      <c r="G49" s="441" t="s">
        <v>674</v>
      </c>
      <c r="H49" s="441" t="s">
        <v>672</v>
      </c>
      <c r="I49" s="441">
        <v>10.4</v>
      </c>
      <c r="J49" s="441">
        <v>10.4</v>
      </c>
      <c r="K49" s="441">
        <v>11.4</v>
      </c>
      <c r="L49" s="441">
        <v>11.4</v>
      </c>
      <c r="N49" s="442" t="s">
        <v>670</v>
      </c>
      <c r="O49" s="438">
        <v>0.43</v>
      </c>
      <c r="P49" s="438">
        <v>0.36</v>
      </c>
      <c r="Q49" s="438">
        <v>0.34</v>
      </c>
      <c r="R49" s="438">
        <v>0.37</v>
      </c>
      <c r="S49" s="438">
        <v>0.39</v>
      </c>
      <c r="T49" s="438">
        <v>0.44</v>
      </c>
      <c r="U49" s="438">
        <v>0.39</v>
      </c>
      <c r="V49" s="438">
        <v>0.37</v>
      </c>
      <c r="W49" s="439">
        <v>0.42</v>
      </c>
      <c r="Y49" t="str">
        <f>IFERROR(VLOOKUP(I49, 'Lookup Tables'!$B$5:$C$2226, 2, FALSE), "")</f>
        <v/>
      </c>
      <c r="AI49" s="403"/>
      <c r="AJ49" s="401"/>
    </row>
    <row r="50" spans="1:36" ht="15" hidden="1" customHeight="1">
      <c r="A50" s="2"/>
      <c r="G50" s="441" t="s">
        <v>674</v>
      </c>
      <c r="H50" s="441" t="s">
        <v>675</v>
      </c>
      <c r="I50" s="441">
        <v>10.4</v>
      </c>
      <c r="J50" s="441">
        <v>10.4</v>
      </c>
      <c r="K50" s="441">
        <v>11.4</v>
      </c>
      <c r="L50" s="441">
        <v>11.4</v>
      </c>
      <c r="N50" s="442" t="s">
        <v>673</v>
      </c>
      <c r="O50" s="438">
        <v>0.26</v>
      </c>
      <c r="P50" s="438">
        <v>0.25</v>
      </c>
      <c r="Q50" s="438">
        <v>0.23</v>
      </c>
      <c r="R50" s="438">
        <v>0.27</v>
      </c>
      <c r="S50" s="438">
        <v>0.3</v>
      </c>
      <c r="T50" s="438">
        <v>0.34</v>
      </c>
      <c r="U50" s="438">
        <v>0.32</v>
      </c>
      <c r="V50" s="438">
        <v>0.28000000000000003</v>
      </c>
      <c r="W50" s="439">
        <v>0.28999999999999998</v>
      </c>
      <c r="Y50" t="str">
        <f>IFERROR(VLOOKUP(I50, 'Lookup Tables'!$B$5:$C$2226, 2, FALSE), "")</f>
        <v/>
      </c>
      <c r="AI50" s="403"/>
      <c r="AJ50" s="401"/>
    </row>
    <row r="51" spans="1:36" ht="15" hidden="1" customHeight="1">
      <c r="A51" s="2"/>
      <c r="G51" s="441" t="s">
        <v>674</v>
      </c>
      <c r="H51" s="441" t="s">
        <v>677</v>
      </c>
      <c r="I51" s="441">
        <v>10.4</v>
      </c>
      <c r="J51" s="441">
        <v>10.4</v>
      </c>
      <c r="K51" s="441">
        <v>11.4</v>
      </c>
      <c r="L51" s="441">
        <v>11.4</v>
      </c>
      <c r="N51" s="442" t="s">
        <v>676</v>
      </c>
      <c r="O51" s="438">
        <v>0.51</v>
      </c>
      <c r="P51" s="438">
        <v>0.37</v>
      </c>
      <c r="Q51" s="438">
        <v>0.33</v>
      </c>
      <c r="R51" s="438">
        <v>0.39</v>
      </c>
      <c r="S51" s="438">
        <v>0.55000000000000004</v>
      </c>
      <c r="T51" s="438">
        <v>0.6</v>
      </c>
      <c r="U51" s="438">
        <v>0.53</v>
      </c>
      <c r="V51" s="438">
        <v>0.45</v>
      </c>
      <c r="W51" s="439">
        <v>0.48</v>
      </c>
      <c r="Y51" t="str">
        <f>IFERROR(VLOOKUP(I51, 'Lookup Tables'!$B$5:$C$2226, 2, FALSE), "")</f>
        <v/>
      </c>
      <c r="AI51" s="403"/>
      <c r="AJ51" s="401"/>
    </row>
    <row r="52" spans="1:36" ht="15" hidden="1" customHeight="1">
      <c r="A52" s="2"/>
      <c r="G52" s="441" t="s">
        <v>674</v>
      </c>
      <c r="H52" s="441" t="s">
        <v>679</v>
      </c>
      <c r="I52" s="441">
        <v>10.4</v>
      </c>
      <c r="J52" s="441">
        <v>10.4</v>
      </c>
      <c r="K52" s="441">
        <v>11.4</v>
      </c>
      <c r="L52" s="441">
        <v>11.4</v>
      </c>
      <c r="N52" s="442" t="s">
        <v>678</v>
      </c>
      <c r="O52" s="438">
        <v>0.53</v>
      </c>
      <c r="P52" s="438">
        <v>0.38</v>
      </c>
      <c r="Q52" s="438">
        <v>0.34</v>
      </c>
      <c r="R52" s="438">
        <v>0.45</v>
      </c>
      <c r="S52" s="438">
        <v>0.6</v>
      </c>
      <c r="T52" s="438">
        <v>0.72</v>
      </c>
      <c r="U52" s="438">
        <v>0.56000000000000005</v>
      </c>
      <c r="V52" s="438">
        <v>0.48</v>
      </c>
      <c r="W52" s="439">
        <v>0.52</v>
      </c>
      <c r="Y52" t="str">
        <f>IFERROR(VLOOKUP(I52, 'Lookup Tables'!$B$5:$C$2226, 2, FALSE), "")</f>
        <v/>
      </c>
      <c r="AI52" s="403"/>
      <c r="AJ52" s="401"/>
    </row>
    <row r="53" spans="1:36" ht="15" hidden="1" customHeight="1">
      <c r="A53" s="2"/>
      <c r="G53" s="441" t="s">
        <v>674</v>
      </c>
      <c r="H53" s="56" t="s">
        <v>681</v>
      </c>
      <c r="I53" s="441">
        <v>10.4</v>
      </c>
      <c r="J53" s="441">
        <v>10.4</v>
      </c>
      <c r="K53" s="441">
        <v>11.4</v>
      </c>
      <c r="L53" s="441">
        <v>11.4</v>
      </c>
      <c r="N53" s="442" t="s">
        <v>680</v>
      </c>
      <c r="O53" s="438">
        <v>0.72</v>
      </c>
      <c r="P53" s="438">
        <v>0.73</v>
      </c>
      <c r="Q53" s="438">
        <v>0.71</v>
      </c>
      <c r="R53" s="438">
        <v>0.77</v>
      </c>
      <c r="S53" s="438">
        <v>0.78</v>
      </c>
      <c r="T53" s="438">
        <v>0.83</v>
      </c>
      <c r="U53" s="438">
        <v>0.83</v>
      </c>
      <c r="V53" s="438">
        <v>0.73</v>
      </c>
      <c r="W53" s="439">
        <v>0.78</v>
      </c>
      <c r="Y53" t="str">
        <f>IFERROR(VLOOKUP(I53, 'Lookup Tables'!$B$5:$C$2226, 2, FALSE), "")</f>
        <v/>
      </c>
      <c r="AI53" s="403"/>
      <c r="AJ53" s="401"/>
    </row>
    <row r="54" spans="1:36" ht="15" hidden="1" customHeight="1">
      <c r="A54" s="2"/>
      <c r="N54" s="442" t="s">
        <v>682</v>
      </c>
      <c r="O54" s="438">
        <v>0.48</v>
      </c>
      <c r="P54" s="438">
        <v>0.48</v>
      </c>
      <c r="Q54" s="438">
        <v>0.48</v>
      </c>
      <c r="R54" s="438">
        <v>0.48</v>
      </c>
      <c r="S54" s="438">
        <v>0.48</v>
      </c>
      <c r="T54" s="438">
        <v>0.48</v>
      </c>
      <c r="U54" s="438">
        <v>0.48</v>
      </c>
      <c r="V54" s="438">
        <v>0.48</v>
      </c>
      <c r="W54" s="439">
        <v>0.48</v>
      </c>
      <c r="Y54" t="str">
        <f>IFERROR(VLOOKUP(#REF!, 'Lookup Tables'!$B$5:$C$2226, 2, FALSE), "")</f>
        <v/>
      </c>
      <c r="AI54" s="403"/>
      <c r="AJ54" s="401"/>
    </row>
    <row r="55" spans="1:36" ht="15" hidden="1" customHeight="1">
      <c r="A55" s="2"/>
      <c r="N55" s="442" t="s">
        <v>683</v>
      </c>
      <c r="O55" s="438">
        <v>0.32</v>
      </c>
      <c r="P55" s="438">
        <v>0.16</v>
      </c>
      <c r="Q55" s="438">
        <v>0.26</v>
      </c>
      <c r="R55" s="438">
        <v>0.31</v>
      </c>
      <c r="S55" s="438">
        <v>0.41</v>
      </c>
      <c r="T55" s="438">
        <v>0.27</v>
      </c>
      <c r="U55" s="438">
        <v>0.35</v>
      </c>
      <c r="V55" s="438">
        <v>0.36</v>
      </c>
      <c r="W55" s="439">
        <v>0.37</v>
      </c>
      <c r="Y55" t="str">
        <f>IFERROR(VLOOKUP(#REF!, 'Lookup Tables'!$B$5:$C$2226, 2, FALSE), "")</f>
        <v/>
      </c>
      <c r="AI55" s="403"/>
      <c r="AJ55" s="401"/>
    </row>
    <row r="56" spans="1:36" ht="15" hidden="1" customHeight="1">
      <c r="A56" s="2"/>
      <c r="N56" s="442" t="s">
        <v>684</v>
      </c>
      <c r="O56" s="438">
        <v>0.38</v>
      </c>
      <c r="P56" s="438">
        <v>0.36</v>
      </c>
      <c r="Q56" s="438">
        <v>0.33</v>
      </c>
      <c r="R56" s="438">
        <v>0.37</v>
      </c>
      <c r="S56" s="438">
        <v>0.42</v>
      </c>
      <c r="T56" s="438">
        <v>0.5</v>
      </c>
      <c r="U56" s="438">
        <v>0.49</v>
      </c>
      <c r="V56" s="438">
        <v>0.39</v>
      </c>
      <c r="W56" s="439">
        <v>0.45</v>
      </c>
      <c r="Y56" t="str">
        <f>IFERROR(VLOOKUP(#REF!, 'Lookup Tables'!$B$5:$C$2226, 2, FALSE), "")</f>
        <v/>
      </c>
      <c r="AI56" s="403"/>
      <c r="AJ56" s="401"/>
    </row>
    <row r="57" spans="1:36" ht="15" hidden="1" customHeight="1">
      <c r="A57" s="2"/>
      <c r="N57" s="442" t="s">
        <v>685</v>
      </c>
      <c r="O57" s="438">
        <v>0.52</v>
      </c>
      <c r="P57" s="438">
        <v>0.45</v>
      </c>
      <c r="Q57" s="438">
        <v>0.42</v>
      </c>
      <c r="R57" s="438">
        <v>0.46</v>
      </c>
      <c r="S57" s="438">
        <v>0.53</v>
      </c>
      <c r="T57" s="438">
        <v>0.56999999999999995</v>
      </c>
      <c r="U57" s="438">
        <v>0.56000000000000005</v>
      </c>
      <c r="V57" s="438">
        <v>0.47</v>
      </c>
      <c r="W57" s="439">
        <v>0.49</v>
      </c>
      <c r="Y57" t="str">
        <f>IFERROR(VLOOKUP(#REF!, 'Lookup Tables'!$B$5:$C$2226, 2, FALSE), "")</f>
        <v/>
      </c>
      <c r="AI57" s="403"/>
      <c r="AJ57" s="401"/>
    </row>
    <row r="58" spans="1:36" ht="15" hidden="1" customHeight="1">
      <c r="A58" s="2"/>
      <c r="N58" s="442" t="s">
        <v>687</v>
      </c>
      <c r="O58" s="438">
        <v>0.18</v>
      </c>
      <c r="P58" s="438">
        <v>0.11</v>
      </c>
      <c r="Q58" s="438">
        <v>0.1</v>
      </c>
      <c r="R58" s="438">
        <v>0.13</v>
      </c>
      <c r="S58" s="438">
        <v>0.24</v>
      </c>
      <c r="T58" s="438">
        <v>0.3</v>
      </c>
      <c r="U58" s="438">
        <v>0.23</v>
      </c>
      <c r="V58" s="438">
        <v>0.15</v>
      </c>
      <c r="W58" s="446">
        <v>0.2</v>
      </c>
      <c r="X58" s="421"/>
      <c r="Y58" t="str">
        <f>IFERROR(VLOOKUP(#REF!, 'Lookup Tables'!$B$5:$C$2226, 2, FALSE), "")</f>
        <v/>
      </c>
      <c r="AI58" s="403"/>
      <c r="AJ58" s="401"/>
    </row>
    <row r="59" spans="1:36" ht="15.75" hidden="1" customHeight="1" thickBot="1">
      <c r="A59" s="2"/>
      <c r="N59" s="447" t="s">
        <v>689</v>
      </c>
      <c r="O59" s="449">
        <v>0.5</v>
      </c>
      <c r="P59" s="449">
        <v>0.47</v>
      </c>
      <c r="Q59" s="449">
        <v>0.45</v>
      </c>
      <c r="R59" s="449">
        <v>0.48</v>
      </c>
      <c r="S59" s="449">
        <v>0.52</v>
      </c>
      <c r="T59" s="449">
        <v>0.53</v>
      </c>
      <c r="U59" s="449">
        <v>0.51</v>
      </c>
      <c r="V59" s="449">
        <v>0.48</v>
      </c>
      <c r="W59" s="450">
        <v>0.51</v>
      </c>
      <c r="X59" s="421"/>
      <c r="Y59" t="str">
        <f>IFERROR(VLOOKUP(#REF!, 'Lookup Tables'!$B$5:$C$2226, 2, FALSE), "")</f>
        <v/>
      </c>
      <c r="AI59" s="403"/>
      <c r="AJ59" s="401"/>
    </row>
    <row r="60" spans="1:36" ht="15" hidden="1" customHeight="1">
      <c r="A60" s="2"/>
      <c r="X60" s="421"/>
      <c r="Y60" t="str">
        <f>IFERROR(VLOOKUP(#REF!, 'Lookup Tables'!$B$5:$C$2226, 2, FALSE), "")</f>
        <v/>
      </c>
      <c r="AI60" s="403"/>
      <c r="AJ60" s="401"/>
    </row>
    <row r="61" spans="1:36" ht="15" hidden="1" customHeight="1">
      <c r="A61" s="2"/>
      <c r="X61" s="421"/>
      <c r="Y61" t="str">
        <f>IFERROR(VLOOKUP(#REF!, 'Lookup Tables'!$B$5:$C$2226, 2, FALSE), "")</f>
        <v/>
      </c>
      <c r="AI61" s="403"/>
      <c r="AJ61" s="401"/>
    </row>
    <row r="62" spans="1:36" ht="15" hidden="1" customHeight="1">
      <c r="A62" s="2"/>
      <c r="X62" s="421"/>
      <c r="Y62" t="str">
        <f>IFERROR(VLOOKUP(#REF!, 'Lookup Tables'!$B$5:$C$2226, 2, FALSE), "")</f>
        <v/>
      </c>
      <c r="AI62" s="403"/>
      <c r="AJ62" s="401"/>
    </row>
    <row r="63" spans="1:36" hidden="1">
      <c r="A63" s="2"/>
      <c r="X63" s="421"/>
      <c r="Y63" t="str">
        <f>IFERROR(VLOOKUP(#REF!, 'Lookup Tables'!$B$5:$C$2226, 2, FALSE), "")</f>
        <v/>
      </c>
      <c r="AI63" s="403"/>
      <c r="AJ63" s="401"/>
    </row>
    <row r="64" spans="1:36" hidden="1">
      <c r="A64" s="2"/>
      <c r="X64" s="421"/>
      <c r="Y64" t="str">
        <f>IFERROR(VLOOKUP(I64, 'Lookup Tables'!$B$5:$C$2226, 2, FALSE), "")</f>
        <v/>
      </c>
      <c r="AI64" s="403"/>
      <c r="AJ64" s="401"/>
    </row>
    <row r="65" spans="1:36" hidden="1">
      <c r="A65" s="2"/>
      <c r="X65" s="421"/>
      <c r="Y65" t="str">
        <f>IFERROR(VLOOKUP(I65, 'Lookup Tables'!$B$5:$C$2226, 2, FALSE), "")</f>
        <v/>
      </c>
      <c r="AI65" s="403"/>
      <c r="AJ65" s="401"/>
    </row>
    <row r="66" spans="1:36" hidden="1">
      <c r="A66" s="2"/>
      <c r="X66" s="421"/>
      <c r="Y66" t="str">
        <f>IFERROR(VLOOKUP(I66, 'Lookup Tables'!$B$5:$C$2226, 2, FALSE), "")</f>
        <v/>
      </c>
      <c r="AI66" s="403"/>
      <c r="AJ66" s="401"/>
    </row>
    <row r="67" spans="1:36" hidden="1">
      <c r="A67" s="2"/>
      <c r="X67" s="421"/>
      <c r="Y67" t="str">
        <f>IFERROR(VLOOKUP(I67, 'Lookup Tables'!$B$5:$C$2226, 2, FALSE), "")</f>
        <v/>
      </c>
      <c r="AI67" s="403"/>
      <c r="AJ67" s="401"/>
    </row>
    <row r="68" spans="1:36">
      <c r="A68" s="401"/>
      <c r="B68" s="401"/>
      <c r="C68" s="401"/>
      <c r="D68" s="401"/>
      <c r="E68" s="401"/>
      <c r="F68" s="401"/>
      <c r="G68" s="401"/>
      <c r="H68" s="401"/>
      <c r="I68" s="401"/>
      <c r="J68" s="401"/>
      <c r="K68" s="401"/>
      <c r="L68" s="401"/>
      <c r="M68" s="401"/>
      <c r="N68" s="401"/>
      <c r="O68" s="401"/>
      <c r="P68" s="401"/>
      <c r="Q68" s="401"/>
      <c r="R68" s="401"/>
      <c r="S68" s="401"/>
      <c r="T68" s="401"/>
      <c r="U68" s="401"/>
      <c r="V68" s="401"/>
      <c r="W68" s="401"/>
      <c r="X68" s="401"/>
      <c r="Y68" s="401" t="str">
        <f>IFERROR(VLOOKUP(I68, 'Lookup Tables'!$B$5:$C$2226, 2, FALSE), "")</f>
        <v/>
      </c>
      <c r="Z68" s="401"/>
      <c r="AA68" s="401"/>
      <c r="AB68" s="401"/>
      <c r="AC68" s="401"/>
      <c r="AD68" s="401"/>
      <c r="AE68" s="401"/>
      <c r="AF68" s="401"/>
      <c r="AG68" s="403"/>
      <c r="AH68" s="403"/>
      <c r="AI68" s="403"/>
      <c r="AJ68" s="401"/>
    </row>
    <row r="69" spans="1:36">
      <c r="A69" s="401"/>
      <c r="B69" s="401"/>
      <c r="C69" s="401"/>
      <c r="D69" s="401"/>
      <c r="E69" s="401"/>
      <c r="F69" s="401"/>
      <c r="G69" s="401"/>
      <c r="H69" s="401"/>
      <c r="I69" s="401"/>
      <c r="J69" s="401"/>
      <c r="K69" s="401"/>
      <c r="L69" s="401"/>
      <c r="M69" s="401"/>
      <c r="N69" s="401"/>
      <c r="O69" s="401"/>
      <c r="P69" s="401"/>
      <c r="Q69" s="401"/>
      <c r="R69" s="401"/>
      <c r="S69" s="401"/>
      <c r="T69" s="401"/>
      <c r="U69" s="401"/>
      <c r="V69" s="401"/>
      <c r="W69" s="401"/>
      <c r="X69" s="401"/>
      <c r="Y69" s="401" t="str">
        <f>IFERROR(VLOOKUP(I69, 'Lookup Tables'!$B$5:$C$2226, 2, FALSE), "")</f>
        <v/>
      </c>
      <c r="Z69" s="401"/>
      <c r="AA69" s="401"/>
      <c r="AB69" s="401"/>
      <c r="AC69" s="401"/>
      <c r="AD69" s="401"/>
      <c r="AE69" s="401"/>
      <c r="AF69" s="401"/>
      <c r="AG69" s="403"/>
      <c r="AH69" s="403"/>
      <c r="AI69" s="403"/>
      <c r="AJ69" s="401"/>
    </row>
    <row r="70" spans="1:36">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row>
    <row r="71" spans="1:36">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row>
    <row r="72" spans="1:36">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row>
    <row r="73" spans="1:36">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row>
    <row r="74" spans="1:36">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row>
    <row r="75" spans="1:36">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row>
    <row r="76" spans="1:36">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row>
    <row r="77" spans="1:36">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row>
    <row r="78" spans="1:36">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row>
    <row r="79" spans="1:36">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row>
    <row r="80" spans="1:36">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row>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sheetData>
  <sheetProtection algorithmName="SHA-512" hashValue="8H65OaKMDXdn/iLyk1AsLuY4iBTBgJTIxg7F+iOFMwg/T8Owx5O7n2wvNH+4gCFjimVSBgF22hKnyIVQ2GmB6w==" saltValue="2Fo2oJ0eaLSC8AR7ubEqIg==" spinCount="100000" sheet="1" selectLockedCells="1"/>
  <mergeCells count="6">
    <mergeCell ref="B2:AF2"/>
    <mergeCell ref="N44:W44"/>
    <mergeCell ref="B3:C3"/>
    <mergeCell ref="D3:H4"/>
    <mergeCell ref="G19:L19"/>
    <mergeCell ref="N19:W19"/>
  </mergeCells>
  <conditionalFormatting sqref="N8:O8">
    <cfRule type="expression" dxfId="7" priority="1">
      <formula>#REF!=#REF!</formula>
    </cfRule>
  </conditionalFormatting>
  <conditionalFormatting sqref="N9:O9">
    <cfRule type="expression" dxfId="6" priority="2">
      <formula>#REF!=#REF!</formula>
    </cfRule>
  </conditionalFormatting>
  <conditionalFormatting sqref="N10:O15">
    <cfRule type="expression" dxfId="5" priority="3">
      <formula>#REF!=#REF!</formula>
    </cfRule>
  </conditionalFormatting>
  <dataValidations count="6">
    <dataValidation type="list" allowBlank="1" showInputMessage="1" showErrorMessage="1" sqref="H8:H15 JH8:JH15 TD8:TD15 ACZ8:ACZ15 AMV8:AMV15 AWR8:AWR15 BGN8:BGN15 BQJ8:BQJ15 CAF8:CAF15 CKB8:CKB15 CTX8:CTX15 DDT8:DDT15 DNP8:DNP15 DXL8:DXL15 EHH8:EHH15 ERD8:ERD15 FAZ8:FAZ15 FKV8:FKV15 FUR8:FUR15 GEN8:GEN15 GOJ8:GOJ15 GYF8:GYF15 HIB8:HIB15 HRX8:HRX15 IBT8:IBT15 ILP8:ILP15 IVL8:IVL15 JFH8:JFH15 JPD8:JPD15 JYZ8:JYZ15 KIV8:KIV15 KSR8:KSR15 LCN8:LCN15 LMJ8:LMJ15 LWF8:LWF15 MGB8:MGB15 MPX8:MPX15 MZT8:MZT15 NJP8:NJP15 NTL8:NTL15 ODH8:ODH15 OND8:OND15 OWZ8:OWZ15 PGV8:PGV15 PQR8:PQR15 QAN8:QAN15 QKJ8:QKJ15 QUF8:QUF15 REB8:REB15 RNX8:RNX15 RXT8:RXT15 SHP8:SHP15 SRL8:SRL15 TBH8:TBH15 TLD8:TLD15 TUZ8:TUZ15 UEV8:UEV15 UOR8:UOR15 UYN8:UYN15 VIJ8:VIJ15 VSF8:VSF15 WCB8:WCB15 WLX8:WLX15 WVT8:WVT15 H65544:H65551 JG65544:JG65551 TC65544:TC65551 ACY65544:ACY65551 AMU65544:AMU65551 AWQ65544:AWQ65551 BGM65544:BGM65551 BQI65544:BQI65551 CAE65544:CAE65551 CKA65544:CKA65551 CTW65544:CTW65551 DDS65544:DDS65551 DNO65544:DNO65551 DXK65544:DXK65551 EHG65544:EHG65551 ERC65544:ERC65551 FAY65544:FAY65551 FKU65544:FKU65551 FUQ65544:FUQ65551 GEM65544:GEM65551 GOI65544:GOI65551 GYE65544:GYE65551 HIA65544:HIA65551 HRW65544:HRW65551 IBS65544:IBS65551 ILO65544:ILO65551 IVK65544:IVK65551 JFG65544:JFG65551 JPC65544:JPC65551 JYY65544:JYY65551 KIU65544:KIU65551 KSQ65544:KSQ65551 LCM65544:LCM65551 LMI65544:LMI65551 LWE65544:LWE65551 MGA65544:MGA65551 MPW65544:MPW65551 MZS65544:MZS65551 NJO65544:NJO65551 NTK65544:NTK65551 ODG65544:ODG65551 ONC65544:ONC65551 OWY65544:OWY65551 PGU65544:PGU65551 PQQ65544:PQQ65551 QAM65544:QAM65551 QKI65544:QKI65551 QUE65544:QUE65551 REA65544:REA65551 RNW65544:RNW65551 RXS65544:RXS65551 SHO65544:SHO65551 SRK65544:SRK65551 TBG65544:TBG65551 TLC65544:TLC65551 TUY65544:TUY65551 UEU65544:UEU65551 UOQ65544:UOQ65551 UYM65544:UYM65551 VII65544:VII65551 VSE65544:VSE65551 WCA65544:WCA65551 WLW65544:WLW65551 WVS65544:WVS65551 H131080:H131087 JG131080:JG131087 TC131080:TC131087 ACY131080:ACY131087 AMU131080:AMU131087 AWQ131080:AWQ131087 BGM131080:BGM131087 BQI131080:BQI131087 CAE131080:CAE131087 CKA131080:CKA131087 CTW131080:CTW131087 DDS131080:DDS131087 DNO131080:DNO131087 DXK131080:DXK131087 EHG131080:EHG131087 ERC131080:ERC131087 FAY131080:FAY131087 FKU131080:FKU131087 FUQ131080:FUQ131087 GEM131080:GEM131087 GOI131080:GOI131087 GYE131080:GYE131087 HIA131080:HIA131087 HRW131080:HRW131087 IBS131080:IBS131087 ILO131080:ILO131087 IVK131080:IVK131087 JFG131080:JFG131087 JPC131080:JPC131087 JYY131080:JYY131087 KIU131080:KIU131087 KSQ131080:KSQ131087 LCM131080:LCM131087 LMI131080:LMI131087 LWE131080:LWE131087 MGA131080:MGA131087 MPW131080:MPW131087 MZS131080:MZS131087 NJO131080:NJO131087 NTK131080:NTK131087 ODG131080:ODG131087 ONC131080:ONC131087 OWY131080:OWY131087 PGU131080:PGU131087 PQQ131080:PQQ131087 QAM131080:QAM131087 QKI131080:QKI131087 QUE131080:QUE131087 REA131080:REA131087 RNW131080:RNW131087 RXS131080:RXS131087 SHO131080:SHO131087 SRK131080:SRK131087 TBG131080:TBG131087 TLC131080:TLC131087 TUY131080:TUY131087 UEU131080:UEU131087 UOQ131080:UOQ131087 UYM131080:UYM131087 VII131080:VII131087 VSE131080:VSE131087 WCA131080:WCA131087 WLW131080:WLW131087 WVS131080:WVS131087 H196616:H196623 JG196616:JG196623 TC196616:TC196623 ACY196616:ACY196623 AMU196616:AMU196623 AWQ196616:AWQ196623 BGM196616:BGM196623 BQI196616:BQI196623 CAE196616:CAE196623 CKA196616:CKA196623 CTW196616:CTW196623 DDS196616:DDS196623 DNO196616:DNO196623 DXK196616:DXK196623 EHG196616:EHG196623 ERC196616:ERC196623 FAY196616:FAY196623 FKU196616:FKU196623 FUQ196616:FUQ196623 GEM196616:GEM196623 GOI196616:GOI196623 GYE196616:GYE196623 HIA196616:HIA196623 HRW196616:HRW196623 IBS196616:IBS196623 ILO196616:ILO196623 IVK196616:IVK196623 JFG196616:JFG196623 JPC196616:JPC196623 JYY196616:JYY196623 KIU196616:KIU196623 KSQ196616:KSQ196623 LCM196616:LCM196623 LMI196616:LMI196623 LWE196616:LWE196623 MGA196616:MGA196623 MPW196616:MPW196623 MZS196616:MZS196623 NJO196616:NJO196623 NTK196616:NTK196623 ODG196616:ODG196623 ONC196616:ONC196623 OWY196616:OWY196623 PGU196616:PGU196623 PQQ196616:PQQ196623 QAM196616:QAM196623 QKI196616:QKI196623 QUE196616:QUE196623 REA196616:REA196623 RNW196616:RNW196623 RXS196616:RXS196623 SHO196616:SHO196623 SRK196616:SRK196623 TBG196616:TBG196623 TLC196616:TLC196623 TUY196616:TUY196623 UEU196616:UEU196623 UOQ196616:UOQ196623 UYM196616:UYM196623 VII196616:VII196623 VSE196616:VSE196623 WCA196616:WCA196623 WLW196616:WLW196623 WVS196616:WVS196623 H262152:H262159 JG262152:JG262159 TC262152:TC262159 ACY262152:ACY262159 AMU262152:AMU262159 AWQ262152:AWQ262159 BGM262152:BGM262159 BQI262152:BQI262159 CAE262152:CAE262159 CKA262152:CKA262159 CTW262152:CTW262159 DDS262152:DDS262159 DNO262152:DNO262159 DXK262152:DXK262159 EHG262152:EHG262159 ERC262152:ERC262159 FAY262152:FAY262159 FKU262152:FKU262159 FUQ262152:FUQ262159 GEM262152:GEM262159 GOI262152:GOI262159 GYE262152:GYE262159 HIA262152:HIA262159 HRW262152:HRW262159 IBS262152:IBS262159 ILO262152:ILO262159 IVK262152:IVK262159 JFG262152:JFG262159 JPC262152:JPC262159 JYY262152:JYY262159 KIU262152:KIU262159 KSQ262152:KSQ262159 LCM262152:LCM262159 LMI262152:LMI262159 LWE262152:LWE262159 MGA262152:MGA262159 MPW262152:MPW262159 MZS262152:MZS262159 NJO262152:NJO262159 NTK262152:NTK262159 ODG262152:ODG262159 ONC262152:ONC262159 OWY262152:OWY262159 PGU262152:PGU262159 PQQ262152:PQQ262159 QAM262152:QAM262159 QKI262152:QKI262159 QUE262152:QUE262159 REA262152:REA262159 RNW262152:RNW262159 RXS262152:RXS262159 SHO262152:SHO262159 SRK262152:SRK262159 TBG262152:TBG262159 TLC262152:TLC262159 TUY262152:TUY262159 UEU262152:UEU262159 UOQ262152:UOQ262159 UYM262152:UYM262159 VII262152:VII262159 VSE262152:VSE262159 WCA262152:WCA262159 WLW262152:WLW262159 WVS262152:WVS262159 H327688:H327695 JG327688:JG327695 TC327688:TC327695 ACY327688:ACY327695 AMU327688:AMU327695 AWQ327688:AWQ327695 BGM327688:BGM327695 BQI327688:BQI327695 CAE327688:CAE327695 CKA327688:CKA327695 CTW327688:CTW327695 DDS327688:DDS327695 DNO327688:DNO327695 DXK327688:DXK327695 EHG327688:EHG327695 ERC327688:ERC327695 FAY327688:FAY327695 FKU327688:FKU327695 FUQ327688:FUQ327695 GEM327688:GEM327695 GOI327688:GOI327695 GYE327688:GYE327695 HIA327688:HIA327695 HRW327688:HRW327695 IBS327688:IBS327695 ILO327688:ILO327695 IVK327688:IVK327695 JFG327688:JFG327695 JPC327688:JPC327695 JYY327688:JYY327695 KIU327688:KIU327695 KSQ327688:KSQ327695 LCM327688:LCM327695 LMI327688:LMI327695 LWE327688:LWE327695 MGA327688:MGA327695 MPW327688:MPW327695 MZS327688:MZS327695 NJO327688:NJO327695 NTK327688:NTK327695 ODG327688:ODG327695 ONC327688:ONC327695 OWY327688:OWY327695 PGU327688:PGU327695 PQQ327688:PQQ327695 QAM327688:QAM327695 QKI327688:QKI327695 QUE327688:QUE327695 REA327688:REA327695 RNW327688:RNW327695 RXS327688:RXS327695 SHO327688:SHO327695 SRK327688:SRK327695 TBG327688:TBG327695 TLC327688:TLC327695 TUY327688:TUY327695 UEU327688:UEU327695 UOQ327688:UOQ327695 UYM327688:UYM327695 VII327688:VII327695 VSE327688:VSE327695 WCA327688:WCA327695 WLW327688:WLW327695 WVS327688:WVS327695 H393224:H393231 JG393224:JG393231 TC393224:TC393231 ACY393224:ACY393231 AMU393224:AMU393231 AWQ393224:AWQ393231 BGM393224:BGM393231 BQI393224:BQI393231 CAE393224:CAE393231 CKA393224:CKA393231 CTW393224:CTW393231 DDS393224:DDS393231 DNO393224:DNO393231 DXK393224:DXK393231 EHG393224:EHG393231 ERC393224:ERC393231 FAY393224:FAY393231 FKU393224:FKU393231 FUQ393224:FUQ393231 GEM393224:GEM393231 GOI393224:GOI393231 GYE393224:GYE393231 HIA393224:HIA393231 HRW393224:HRW393231 IBS393224:IBS393231 ILO393224:ILO393231 IVK393224:IVK393231 JFG393224:JFG393231 JPC393224:JPC393231 JYY393224:JYY393231 KIU393224:KIU393231 KSQ393224:KSQ393231 LCM393224:LCM393231 LMI393224:LMI393231 LWE393224:LWE393231 MGA393224:MGA393231 MPW393224:MPW393231 MZS393224:MZS393231 NJO393224:NJO393231 NTK393224:NTK393231 ODG393224:ODG393231 ONC393224:ONC393231 OWY393224:OWY393231 PGU393224:PGU393231 PQQ393224:PQQ393231 QAM393224:QAM393231 QKI393224:QKI393231 QUE393224:QUE393231 REA393224:REA393231 RNW393224:RNW393231 RXS393224:RXS393231 SHO393224:SHO393231 SRK393224:SRK393231 TBG393224:TBG393231 TLC393224:TLC393231 TUY393224:TUY393231 UEU393224:UEU393231 UOQ393224:UOQ393231 UYM393224:UYM393231 VII393224:VII393231 VSE393224:VSE393231 WCA393224:WCA393231 WLW393224:WLW393231 WVS393224:WVS393231 H458760:H458767 JG458760:JG458767 TC458760:TC458767 ACY458760:ACY458767 AMU458760:AMU458767 AWQ458760:AWQ458767 BGM458760:BGM458767 BQI458760:BQI458767 CAE458760:CAE458767 CKA458760:CKA458767 CTW458760:CTW458767 DDS458760:DDS458767 DNO458760:DNO458767 DXK458760:DXK458767 EHG458760:EHG458767 ERC458760:ERC458767 FAY458760:FAY458767 FKU458760:FKU458767 FUQ458760:FUQ458767 GEM458760:GEM458767 GOI458760:GOI458767 GYE458760:GYE458767 HIA458760:HIA458767 HRW458760:HRW458767 IBS458760:IBS458767 ILO458760:ILO458767 IVK458760:IVK458767 JFG458760:JFG458767 JPC458760:JPC458767 JYY458760:JYY458767 KIU458760:KIU458767 KSQ458760:KSQ458767 LCM458760:LCM458767 LMI458760:LMI458767 LWE458760:LWE458767 MGA458760:MGA458767 MPW458760:MPW458767 MZS458760:MZS458767 NJO458760:NJO458767 NTK458760:NTK458767 ODG458760:ODG458767 ONC458760:ONC458767 OWY458760:OWY458767 PGU458760:PGU458767 PQQ458760:PQQ458767 QAM458760:QAM458767 QKI458760:QKI458767 QUE458760:QUE458767 REA458760:REA458767 RNW458760:RNW458767 RXS458760:RXS458767 SHO458760:SHO458767 SRK458760:SRK458767 TBG458760:TBG458767 TLC458760:TLC458767 TUY458760:TUY458767 UEU458760:UEU458767 UOQ458760:UOQ458767 UYM458760:UYM458767 VII458760:VII458767 VSE458760:VSE458767 WCA458760:WCA458767 WLW458760:WLW458767 WVS458760:WVS458767 H524296:H524303 JG524296:JG524303 TC524296:TC524303 ACY524296:ACY524303 AMU524296:AMU524303 AWQ524296:AWQ524303 BGM524296:BGM524303 BQI524296:BQI524303 CAE524296:CAE524303 CKA524296:CKA524303 CTW524296:CTW524303 DDS524296:DDS524303 DNO524296:DNO524303 DXK524296:DXK524303 EHG524296:EHG524303 ERC524296:ERC524303 FAY524296:FAY524303 FKU524296:FKU524303 FUQ524296:FUQ524303 GEM524296:GEM524303 GOI524296:GOI524303 GYE524296:GYE524303 HIA524296:HIA524303 HRW524296:HRW524303 IBS524296:IBS524303 ILO524296:ILO524303 IVK524296:IVK524303 JFG524296:JFG524303 JPC524296:JPC524303 JYY524296:JYY524303 KIU524296:KIU524303 KSQ524296:KSQ524303 LCM524296:LCM524303 LMI524296:LMI524303 LWE524296:LWE524303 MGA524296:MGA524303 MPW524296:MPW524303 MZS524296:MZS524303 NJO524296:NJO524303 NTK524296:NTK524303 ODG524296:ODG524303 ONC524296:ONC524303 OWY524296:OWY524303 PGU524296:PGU524303 PQQ524296:PQQ524303 QAM524296:QAM524303 QKI524296:QKI524303 QUE524296:QUE524303 REA524296:REA524303 RNW524296:RNW524303 RXS524296:RXS524303 SHO524296:SHO524303 SRK524296:SRK524303 TBG524296:TBG524303 TLC524296:TLC524303 TUY524296:TUY524303 UEU524296:UEU524303 UOQ524296:UOQ524303 UYM524296:UYM524303 VII524296:VII524303 VSE524296:VSE524303 WCA524296:WCA524303 WLW524296:WLW524303 WVS524296:WVS524303 H589832:H589839 JG589832:JG589839 TC589832:TC589839 ACY589832:ACY589839 AMU589832:AMU589839 AWQ589832:AWQ589839 BGM589832:BGM589839 BQI589832:BQI589839 CAE589832:CAE589839 CKA589832:CKA589839 CTW589832:CTW589839 DDS589832:DDS589839 DNO589832:DNO589839 DXK589832:DXK589839 EHG589832:EHG589839 ERC589832:ERC589839 FAY589832:FAY589839 FKU589832:FKU589839 FUQ589832:FUQ589839 GEM589832:GEM589839 GOI589832:GOI589839 GYE589832:GYE589839 HIA589832:HIA589839 HRW589832:HRW589839 IBS589832:IBS589839 ILO589832:ILO589839 IVK589832:IVK589839 JFG589832:JFG589839 JPC589832:JPC589839 JYY589832:JYY589839 KIU589832:KIU589839 KSQ589832:KSQ589839 LCM589832:LCM589839 LMI589832:LMI589839 LWE589832:LWE589839 MGA589832:MGA589839 MPW589832:MPW589839 MZS589832:MZS589839 NJO589832:NJO589839 NTK589832:NTK589839 ODG589832:ODG589839 ONC589832:ONC589839 OWY589832:OWY589839 PGU589832:PGU589839 PQQ589832:PQQ589839 QAM589832:QAM589839 QKI589832:QKI589839 QUE589832:QUE589839 REA589832:REA589839 RNW589832:RNW589839 RXS589832:RXS589839 SHO589832:SHO589839 SRK589832:SRK589839 TBG589832:TBG589839 TLC589832:TLC589839 TUY589832:TUY589839 UEU589832:UEU589839 UOQ589832:UOQ589839 UYM589832:UYM589839 VII589832:VII589839 VSE589832:VSE589839 WCA589832:WCA589839 WLW589832:WLW589839 WVS589832:WVS589839 H655368:H655375 JG655368:JG655375 TC655368:TC655375 ACY655368:ACY655375 AMU655368:AMU655375 AWQ655368:AWQ655375 BGM655368:BGM655375 BQI655368:BQI655375 CAE655368:CAE655375 CKA655368:CKA655375 CTW655368:CTW655375 DDS655368:DDS655375 DNO655368:DNO655375 DXK655368:DXK655375 EHG655368:EHG655375 ERC655368:ERC655375 FAY655368:FAY655375 FKU655368:FKU655375 FUQ655368:FUQ655375 GEM655368:GEM655375 GOI655368:GOI655375 GYE655368:GYE655375 HIA655368:HIA655375 HRW655368:HRW655375 IBS655368:IBS655375 ILO655368:ILO655375 IVK655368:IVK655375 JFG655368:JFG655375 JPC655368:JPC655375 JYY655368:JYY655375 KIU655368:KIU655375 KSQ655368:KSQ655375 LCM655368:LCM655375 LMI655368:LMI655375 LWE655368:LWE655375 MGA655368:MGA655375 MPW655368:MPW655375 MZS655368:MZS655375 NJO655368:NJO655375 NTK655368:NTK655375 ODG655368:ODG655375 ONC655368:ONC655375 OWY655368:OWY655375 PGU655368:PGU655375 PQQ655368:PQQ655375 QAM655368:QAM655375 QKI655368:QKI655375 QUE655368:QUE655375 REA655368:REA655375 RNW655368:RNW655375 RXS655368:RXS655375 SHO655368:SHO655375 SRK655368:SRK655375 TBG655368:TBG655375 TLC655368:TLC655375 TUY655368:TUY655375 UEU655368:UEU655375 UOQ655368:UOQ655375 UYM655368:UYM655375 VII655368:VII655375 VSE655368:VSE655375 WCA655368:WCA655375 WLW655368:WLW655375 WVS655368:WVS655375 H720904:H720911 JG720904:JG720911 TC720904:TC720911 ACY720904:ACY720911 AMU720904:AMU720911 AWQ720904:AWQ720911 BGM720904:BGM720911 BQI720904:BQI720911 CAE720904:CAE720911 CKA720904:CKA720911 CTW720904:CTW720911 DDS720904:DDS720911 DNO720904:DNO720911 DXK720904:DXK720911 EHG720904:EHG720911 ERC720904:ERC720911 FAY720904:FAY720911 FKU720904:FKU720911 FUQ720904:FUQ720911 GEM720904:GEM720911 GOI720904:GOI720911 GYE720904:GYE720911 HIA720904:HIA720911 HRW720904:HRW720911 IBS720904:IBS720911 ILO720904:ILO720911 IVK720904:IVK720911 JFG720904:JFG720911 JPC720904:JPC720911 JYY720904:JYY720911 KIU720904:KIU720911 KSQ720904:KSQ720911 LCM720904:LCM720911 LMI720904:LMI720911 LWE720904:LWE720911 MGA720904:MGA720911 MPW720904:MPW720911 MZS720904:MZS720911 NJO720904:NJO720911 NTK720904:NTK720911 ODG720904:ODG720911 ONC720904:ONC720911 OWY720904:OWY720911 PGU720904:PGU720911 PQQ720904:PQQ720911 QAM720904:QAM720911 QKI720904:QKI720911 QUE720904:QUE720911 REA720904:REA720911 RNW720904:RNW720911 RXS720904:RXS720911 SHO720904:SHO720911 SRK720904:SRK720911 TBG720904:TBG720911 TLC720904:TLC720911 TUY720904:TUY720911 UEU720904:UEU720911 UOQ720904:UOQ720911 UYM720904:UYM720911 VII720904:VII720911 VSE720904:VSE720911 WCA720904:WCA720911 WLW720904:WLW720911 WVS720904:WVS720911 H786440:H786447 JG786440:JG786447 TC786440:TC786447 ACY786440:ACY786447 AMU786440:AMU786447 AWQ786440:AWQ786447 BGM786440:BGM786447 BQI786440:BQI786447 CAE786440:CAE786447 CKA786440:CKA786447 CTW786440:CTW786447 DDS786440:DDS786447 DNO786440:DNO786447 DXK786440:DXK786447 EHG786440:EHG786447 ERC786440:ERC786447 FAY786440:FAY786447 FKU786440:FKU786447 FUQ786440:FUQ786447 GEM786440:GEM786447 GOI786440:GOI786447 GYE786440:GYE786447 HIA786440:HIA786447 HRW786440:HRW786447 IBS786440:IBS786447 ILO786440:ILO786447 IVK786440:IVK786447 JFG786440:JFG786447 JPC786440:JPC786447 JYY786440:JYY786447 KIU786440:KIU786447 KSQ786440:KSQ786447 LCM786440:LCM786447 LMI786440:LMI786447 LWE786440:LWE786447 MGA786440:MGA786447 MPW786440:MPW786447 MZS786440:MZS786447 NJO786440:NJO786447 NTK786440:NTK786447 ODG786440:ODG786447 ONC786440:ONC786447 OWY786440:OWY786447 PGU786440:PGU786447 PQQ786440:PQQ786447 QAM786440:QAM786447 QKI786440:QKI786447 QUE786440:QUE786447 REA786440:REA786447 RNW786440:RNW786447 RXS786440:RXS786447 SHO786440:SHO786447 SRK786440:SRK786447 TBG786440:TBG786447 TLC786440:TLC786447 TUY786440:TUY786447 UEU786440:UEU786447 UOQ786440:UOQ786447 UYM786440:UYM786447 VII786440:VII786447 VSE786440:VSE786447 WCA786440:WCA786447 WLW786440:WLW786447 WVS786440:WVS786447 H851976:H851983 JG851976:JG851983 TC851976:TC851983 ACY851976:ACY851983 AMU851976:AMU851983 AWQ851976:AWQ851983 BGM851976:BGM851983 BQI851976:BQI851983 CAE851976:CAE851983 CKA851976:CKA851983 CTW851976:CTW851983 DDS851976:DDS851983 DNO851976:DNO851983 DXK851976:DXK851983 EHG851976:EHG851983 ERC851976:ERC851983 FAY851976:FAY851983 FKU851976:FKU851983 FUQ851976:FUQ851983 GEM851976:GEM851983 GOI851976:GOI851983 GYE851976:GYE851983 HIA851976:HIA851983 HRW851976:HRW851983 IBS851976:IBS851983 ILO851976:ILO851983 IVK851976:IVK851983 JFG851976:JFG851983 JPC851976:JPC851983 JYY851976:JYY851983 KIU851976:KIU851983 KSQ851976:KSQ851983 LCM851976:LCM851983 LMI851976:LMI851983 LWE851976:LWE851983 MGA851976:MGA851983 MPW851976:MPW851983 MZS851976:MZS851983 NJO851976:NJO851983 NTK851976:NTK851983 ODG851976:ODG851983 ONC851976:ONC851983 OWY851976:OWY851983 PGU851976:PGU851983 PQQ851976:PQQ851983 QAM851976:QAM851983 QKI851976:QKI851983 QUE851976:QUE851983 REA851976:REA851983 RNW851976:RNW851983 RXS851976:RXS851983 SHO851976:SHO851983 SRK851976:SRK851983 TBG851976:TBG851983 TLC851976:TLC851983 TUY851976:TUY851983 UEU851976:UEU851983 UOQ851976:UOQ851983 UYM851976:UYM851983 VII851976:VII851983 VSE851976:VSE851983 WCA851976:WCA851983 WLW851976:WLW851983 WVS851976:WVS851983 H917512:H917519 JG917512:JG917519 TC917512:TC917519 ACY917512:ACY917519 AMU917512:AMU917519 AWQ917512:AWQ917519 BGM917512:BGM917519 BQI917512:BQI917519 CAE917512:CAE917519 CKA917512:CKA917519 CTW917512:CTW917519 DDS917512:DDS917519 DNO917512:DNO917519 DXK917512:DXK917519 EHG917512:EHG917519 ERC917512:ERC917519 FAY917512:FAY917519 FKU917512:FKU917519 FUQ917512:FUQ917519 GEM917512:GEM917519 GOI917512:GOI917519 GYE917512:GYE917519 HIA917512:HIA917519 HRW917512:HRW917519 IBS917512:IBS917519 ILO917512:ILO917519 IVK917512:IVK917519 JFG917512:JFG917519 JPC917512:JPC917519 JYY917512:JYY917519 KIU917512:KIU917519 KSQ917512:KSQ917519 LCM917512:LCM917519 LMI917512:LMI917519 LWE917512:LWE917519 MGA917512:MGA917519 MPW917512:MPW917519 MZS917512:MZS917519 NJO917512:NJO917519 NTK917512:NTK917519 ODG917512:ODG917519 ONC917512:ONC917519 OWY917512:OWY917519 PGU917512:PGU917519 PQQ917512:PQQ917519 QAM917512:QAM917519 QKI917512:QKI917519 QUE917512:QUE917519 REA917512:REA917519 RNW917512:RNW917519 RXS917512:RXS917519 SHO917512:SHO917519 SRK917512:SRK917519 TBG917512:TBG917519 TLC917512:TLC917519 TUY917512:TUY917519 UEU917512:UEU917519 UOQ917512:UOQ917519 UYM917512:UYM917519 VII917512:VII917519 VSE917512:VSE917519 WCA917512:WCA917519 WLW917512:WLW917519 WVS917512:WVS917519 H983048:H983055 JG983048:JG983055 TC983048:TC983055 ACY983048:ACY983055 AMU983048:AMU983055 AWQ983048:AWQ983055 BGM983048:BGM983055 BQI983048:BQI983055 CAE983048:CAE983055 CKA983048:CKA983055 CTW983048:CTW983055 DDS983048:DDS983055 DNO983048:DNO983055 DXK983048:DXK983055 EHG983048:EHG983055 ERC983048:ERC983055 FAY983048:FAY983055 FKU983048:FKU983055 FUQ983048:FUQ983055 GEM983048:GEM983055 GOI983048:GOI983055 GYE983048:GYE983055 HIA983048:HIA983055 HRW983048:HRW983055 IBS983048:IBS983055 ILO983048:ILO983055 IVK983048:IVK983055 JFG983048:JFG983055 JPC983048:JPC983055 JYY983048:JYY983055 KIU983048:KIU983055 KSQ983048:KSQ983055 LCM983048:LCM983055 LMI983048:LMI983055 LWE983048:LWE983055 MGA983048:MGA983055 MPW983048:MPW983055 MZS983048:MZS983055 NJO983048:NJO983055 NTK983048:NTK983055 ODG983048:ODG983055 ONC983048:ONC983055 OWY983048:OWY983055 PGU983048:PGU983055 PQQ983048:PQQ983055 QAM983048:QAM983055 QKI983048:QKI983055 QUE983048:QUE983055 REA983048:REA983055 RNW983048:RNW983055 RXS983048:RXS983055 SHO983048:SHO983055 SRK983048:SRK983055 TBG983048:TBG983055 TLC983048:TLC983055 TUY983048:TUY983055 UEU983048:UEU983055 UOQ983048:UOQ983055 UYM983048:UYM983055 VII983048:VII983055 VSE983048:VSE983055 WCA983048:WCA983055 WLW983048:WLW983055 WVS983048:WVS983055" xr:uid="{DC6A1EA0-42C3-4A11-A025-F085C2A86298}">
      <formula1>$N$21:$N$34</formula1>
    </dataValidation>
    <dataValidation type="list" allowBlank="1" showInputMessage="1" showErrorMessage="1" sqref="D65544:E65551 WVP983048:WVP983055 WLT983048:WLT983055 WBX983048:WBX983055 VSB983048:VSB983055 VIF983048:VIF983055 UYJ983048:UYJ983055 UON983048:UON983055 UER983048:UER983055 TUV983048:TUV983055 TKZ983048:TKZ983055 TBD983048:TBD983055 SRH983048:SRH983055 SHL983048:SHL983055 RXP983048:RXP983055 RNT983048:RNT983055 RDX983048:RDX983055 QUB983048:QUB983055 QKF983048:QKF983055 QAJ983048:QAJ983055 PQN983048:PQN983055 PGR983048:PGR983055 OWV983048:OWV983055 OMZ983048:OMZ983055 ODD983048:ODD983055 NTH983048:NTH983055 NJL983048:NJL983055 MZP983048:MZP983055 MPT983048:MPT983055 MFX983048:MFX983055 LWB983048:LWB983055 LMF983048:LMF983055 LCJ983048:LCJ983055 KSN983048:KSN983055 KIR983048:KIR983055 JYV983048:JYV983055 JOZ983048:JOZ983055 JFD983048:JFD983055 IVH983048:IVH983055 ILL983048:ILL983055 IBP983048:IBP983055 HRT983048:HRT983055 HHX983048:HHX983055 GYB983048:GYB983055 GOF983048:GOF983055 GEJ983048:GEJ983055 FUN983048:FUN983055 FKR983048:FKR983055 FAV983048:FAV983055 EQZ983048:EQZ983055 EHD983048:EHD983055 DXH983048:DXH983055 DNL983048:DNL983055 DDP983048:DDP983055 CTT983048:CTT983055 CJX983048:CJX983055 CAB983048:CAB983055 BQF983048:BQF983055 BGJ983048:BGJ983055 AWN983048:AWN983055 AMR983048:AMR983055 ACV983048:ACV983055 SZ983048:SZ983055 JD983048:JD983055 D983048:E983055 WVP917512:WVP917519 WLT917512:WLT917519 WBX917512:WBX917519 VSB917512:VSB917519 VIF917512:VIF917519 UYJ917512:UYJ917519 UON917512:UON917519 UER917512:UER917519 TUV917512:TUV917519 TKZ917512:TKZ917519 TBD917512:TBD917519 SRH917512:SRH917519 SHL917512:SHL917519 RXP917512:RXP917519 RNT917512:RNT917519 RDX917512:RDX917519 QUB917512:QUB917519 QKF917512:QKF917519 QAJ917512:QAJ917519 PQN917512:PQN917519 PGR917512:PGR917519 OWV917512:OWV917519 OMZ917512:OMZ917519 ODD917512:ODD917519 NTH917512:NTH917519 NJL917512:NJL917519 MZP917512:MZP917519 MPT917512:MPT917519 MFX917512:MFX917519 LWB917512:LWB917519 LMF917512:LMF917519 LCJ917512:LCJ917519 KSN917512:KSN917519 KIR917512:KIR917519 JYV917512:JYV917519 JOZ917512:JOZ917519 JFD917512:JFD917519 IVH917512:IVH917519 ILL917512:ILL917519 IBP917512:IBP917519 HRT917512:HRT917519 HHX917512:HHX917519 GYB917512:GYB917519 GOF917512:GOF917519 GEJ917512:GEJ917519 FUN917512:FUN917519 FKR917512:FKR917519 FAV917512:FAV917519 EQZ917512:EQZ917519 EHD917512:EHD917519 DXH917512:DXH917519 DNL917512:DNL917519 DDP917512:DDP917519 CTT917512:CTT917519 CJX917512:CJX917519 CAB917512:CAB917519 BQF917512:BQF917519 BGJ917512:BGJ917519 AWN917512:AWN917519 AMR917512:AMR917519 ACV917512:ACV917519 SZ917512:SZ917519 JD917512:JD917519 D917512:E917519 WVP851976:WVP851983 WLT851976:WLT851983 WBX851976:WBX851983 VSB851976:VSB851983 VIF851976:VIF851983 UYJ851976:UYJ851983 UON851976:UON851983 UER851976:UER851983 TUV851976:TUV851983 TKZ851976:TKZ851983 TBD851976:TBD851983 SRH851976:SRH851983 SHL851976:SHL851983 RXP851976:RXP851983 RNT851976:RNT851983 RDX851976:RDX851983 QUB851976:QUB851983 QKF851976:QKF851983 QAJ851976:QAJ851983 PQN851976:PQN851983 PGR851976:PGR851983 OWV851976:OWV851983 OMZ851976:OMZ851983 ODD851976:ODD851983 NTH851976:NTH851983 NJL851976:NJL851983 MZP851976:MZP851983 MPT851976:MPT851983 MFX851976:MFX851983 LWB851976:LWB851983 LMF851976:LMF851983 LCJ851976:LCJ851983 KSN851976:KSN851983 KIR851976:KIR851983 JYV851976:JYV851983 JOZ851976:JOZ851983 JFD851976:JFD851983 IVH851976:IVH851983 ILL851976:ILL851983 IBP851976:IBP851983 HRT851976:HRT851983 HHX851976:HHX851983 GYB851976:GYB851983 GOF851976:GOF851983 GEJ851976:GEJ851983 FUN851976:FUN851983 FKR851976:FKR851983 FAV851976:FAV851983 EQZ851976:EQZ851983 EHD851976:EHD851983 DXH851976:DXH851983 DNL851976:DNL851983 DDP851976:DDP851983 CTT851976:CTT851983 CJX851976:CJX851983 CAB851976:CAB851983 BQF851976:BQF851983 BGJ851976:BGJ851983 AWN851976:AWN851983 AMR851976:AMR851983 ACV851976:ACV851983 SZ851976:SZ851983 JD851976:JD851983 D851976:E851983 WVP786440:WVP786447 WLT786440:WLT786447 WBX786440:WBX786447 VSB786440:VSB786447 VIF786440:VIF786447 UYJ786440:UYJ786447 UON786440:UON786447 UER786440:UER786447 TUV786440:TUV786447 TKZ786440:TKZ786447 TBD786440:TBD786447 SRH786440:SRH786447 SHL786440:SHL786447 RXP786440:RXP786447 RNT786440:RNT786447 RDX786440:RDX786447 QUB786440:QUB786447 QKF786440:QKF786447 QAJ786440:QAJ786447 PQN786440:PQN786447 PGR786440:PGR786447 OWV786440:OWV786447 OMZ786440:OMZ786447 ODD786440:ODD786447 NTH786440:NTH786447 NJL786440:NJL786447 MZP786440:MZP786447 MPT786440:MPT786447 MFX786440:MFX786447 LWB786440:LWB786447 LMF786440:LMF786447 LCJ786440:LCJ786447 KSN786440:KSN786447 KIR786440:KIR786447 JYV786440:JYV786447 JOZ786440:JOZ786447 JFD786440:JFD786447 IVH786440:IVH786447 ILL786440:ILL786447 IBP786440:IBP786447 HRT786440:HRT786447 HHX786440:HHX786447 GYB786440:GYB786447 GOF786440:GOF786447 GEJ786440:GEJ786447 FUN786440:FUN786447 FKR786440:FKR786447 FAV786440:FAV786447 EQZ786440:EQZ786447 EHD786440:EHD786447 DXH786440:DXH786447 DNL786440:DNL786447 DDP786440:DDP786447 CTT786440:CTT786447 CJX786440:CJX786447 CAB786440:CAB786447 BQF786440:BQF786447 BGJ786440:BGJ786447 AWN786440:AWN786447 AMR786440:AMR786447 ACV786440:ACV786447 SZ786440:SZ786447 JD786440:JD786447 D786440:E786447 WVP720904:WVP720911 WLT720904:WLT720911 WBX720904:WBX720911 VSB720904:VSB720911 VIF720904:VIF720911 UYJ720904:UYJ720911 UON720904:UON720911 UER720904:UER720911 TUV720904:TUV720911 TKZ720904:TKZ720911 TBD720904:TBD720911 SRH720904:SRH720911 SHL720904:SHL720911 RXP720904:RXP720911 RNT720904:RNT720911 RDX720904:RDX720911 QUB720904:QUB720911 QKF720904:QKF720911 QAJ720904:QAJ720911 PQN720904:PQN720911 PGR720904:PGR720911 OWV720904:OWV720911 OMZ720904:OMZ720911 ODD720904:ODD720911 NTH720904:NTH720911 NJL720904:NJL720911 MZP720904:MZP720911 MPT720904:MPT720911 MFX720904:MFX720911 LWB720904:LWB720911 LMF720904:LMF720911 LCJ720904:LCJ720911 KSN720904:KSN720911 KIR720904:KIR720911 JYV720904:JYV720911 JOZ720904:JOZ720911 JFD720904:JFD720911 IVH720904:IVH720911 ILL720904:ILL720911 IBP720904:IBP720911 HRT720904:HRT720911 HHX720904:HHX720911 GYB720904:GYB720911 GOF720904:GOF720911 GEJ720904:GEJ720911 FUN720904:FUN720911 FKR720904:FKR720911 FAV720904:FAV720911 EQZ720904:EQZ720911 EHD720904:EHD720911 DXH720904:DXH720911 DNL720904:DNL720911 DDP720904:DDP720911 CTT720904:CTT720911 CJX720904:CJX720911 CAB720904:CAB720911 BQF720904:BQF720911 BGJ720904:BGJ720911 AWN720904:AWN720911 AMR720904:AMR720911 ACV720904:ACV720911 SZ720904:SZ720911 JD720904:JD720911 D720904:E720911 WVP655368:WVP655375 WLT655368:WLT655375 WBX655368:WBX655375 VSB655368:VSB655375 VIF655368:VIF655375 UYJ655368:UYJ655375 UON655368:UON655375 UER655368:UER655375 TUV655368:TUV655375 TKZ655368:TKZ655375 TBD655368:TBD655375 SRH655368:SRH655375 SHL655368:SHL655375 RXP655368:RXP655375 RNT655368:RNT655375 RDX655368:RDX655375 QUB655368:QUB655375 QKF655368:QKF655375 QAJ655368:QAJ655375 PQN655368:PQN655375 PGR655368:PGR655375 OWV655368:OWV655375 OMZ655368:OMZ655375 ODD655368:ODD655375 NTH655368:NTH655375 NJL655368:NJL655375 MZP655368:MZP655375 MPT655368:MPT655375 MFX655368:MFX655375 LWB655368:LWB655375 LMF655368:LMF655375 LCJ655368:LCJ655375 KSN655368:KSN655375 KIR655368:KIR655375 JYV655368:JYV655375 JOZ655368:JOZ655375 JFD655368:JFD655375 IVH655368:IVH655375 ILL655368:ILL655375 IBP655368:IBP655375 HRT655368:HRT655375 HHX655368:HHX655375 GYB655368:GYB655375 GOF655368:GOF655375 GEJ655368:GEJ655375 FUN655368:FUN655375 FKR655368:FKR655375 FAV655368:FAV655375 EQZ655368:EQZ655375 EHD655368:EHD655375 DXH655368:DXH655375 DNL655368:DNL655375 DDP655368:DDP655375 CTT655368:CTT655375 CJX655368:CJX655375 CAB655368:CAB655375 BQF655368:BQF655375 BGJ655368:BGJ655375 AWN655368:AWN655375 AMR655368:AMR655375 ACV655368:ACV655375 SZ655368:SZ655375 JD655368:JD655375 D655368:E655375 WVP589832:WVP589839 WLT589832:WLT589839 WBX589832:WBX589839 VSB589832:VSB589839 VIF589832:VIF589839 UYJ589832:UYJ589839 UON589832:UON589839 UER589832:UER589839 TUV589832:TUV589839 TKZ589832:TKZ589839 TBD589832:TBD589839 SRH589832:SRH589839 SHL589832:SHL589839 RXP589832:RXP589839 RNT589832:RNT589839 RDX589832:RDX589839 QUB589832:QUB589839 QKF589832:QKF589839 QAJ589832:QAJ589839 PQN589832:PQN589839 PGR589832:PGR589839 OWV589832:OWV589839 OMZ589832:OMZ589839 ODD589832:ODD589839 NTH589832:NTH589839 NJL589832:NJL589839 MZP589832:MZP589839 MPT589832:MPT589839 MFX589832:MFX589839 LWB589832:LWB589839 LMF589832:LMF589839 LCJ589832:LCJ589839 KSN589832:KSN589839 KIR589832:KIR589839 JYV589832:JYV589839 JOZ589832:JOZ589839 JFD589832:JFD589839 IVH589832:IVH589839 ILL589832:ILL589839 IBP589832:IBP589839 HRT589832:HRT589839 HHX589832:HHX589839 GYB589832:GYB589839 GOF589832:GOF589839 GEJ589832:GEJ589839 FUN589832:FUN589839 FKR589832:FKR589839 FAV589832:FAV589839 EQZ589832:EQZ589839 EHD589832:EHD589839 DXH589832:DXH589839 DNL589832:DNL589839 DDP589832:DDP589839 CTT589832:CTT589839 CJX589832:CJX589839 CAB589832:CAB589839 BQF589832:BQF589839 BGJ589832:BGJ589839 AWN589832:AWN589839 AMR589832:AMR589839 ACV589832:ACV589839 SZ589832:SZ589839 JD589832:JD589839 D589832:E589839 WVP524296:WVP524303 WLT524296:WLT524303 WBX524296:WBX524303 VSB524296:VSB524303 VIF524296:VIF524303 UYJ524296:UYJ524303 UON524296:UON524303 UER524296:UER524303 TUV524296:TUV524303 TKZ524296:TKZ524303 TBD524296:TBD524303 SRH524296:SRH524303 SHL524296:SHL524303 RXP524296:RXP524303 RNT524296:RNT524303 RDX524296:RDX524303 QUB524296:QUB524303 QKF524296:QKF524303 QAJ524296:QAJ524303 PQN524296:PQN524303 PGR524296:PGR524303 OWV524296:OWV524303 OMZ524296:OMZ524303 ODD524296:ODD524303 NTH524296:NTH524303 NJL524296:NJL524303 MZP524296:MZP524303 MPT524296:MPT524303 MFX524296:MFX524303 LWB524296:LWB524303 LMF524296:LMF524303 LCJ524296:LCJ524303 KSN524296:KSN524303 KIR524296:KIR524303 JYV524296:JYV524303 JOZ524296:JOZ524303 JFD524296:JFD524303 IVH524296:IVH524303 ILL524296:ILL524303 IBP524296:IBP524303 HRT524296:HRT524303 HHX524296:HHX524303 GYB524296:GYB524303 GOF524296:GOF524303 GEJ524296:GEJ524303 FUN524296:FUN524303 FKR524296:FKR524303 FAV524296:FAV524303 EQZ524296:EQZ524303 EHD524296:EHD524303 DXH524296:DXH524303 DNL524296:DNL524303 DDP524296:DDP524303 CTT524296:CTT524303 CJX524296:CJX524303 CAB524296:CAB524303 BQF524296:BQF524303 BGJ524296:BGJ524303 AWN524296:AWN524303 AMR524296:AMR524303 ACV524296:ACV524303 SZ524296:SZ524303 JD524296:JD524303 D524296:E524303 WVP458760:WVP458767 WLT458760:WLT458767 WBX458760:WBX458767 VSB458760:VSB458767 VIF458760:VIF458767 UYJ458760:UYJ458767 UON458760:UON458767 UER458760:UER458767 TUV458760:TUV458767 TKZ458760:TKZ458767 TBD458760:TBD458767 SRH458760:SRH458767 SHL458760:SHL458767 RXP458760:RXP458767 RNT458760:RNT458767 RDX458760:RDX458767 QUB458760:QUB458767 QKF458760:QKF458767 QAJ458760:QAJ458767 PQN458760:PQN458767 PGR458760:PGR458767 OWV458760:OWV458767 OMZ458760:OMZ458767 ODD458760:ODD458767 NTH458760:NTH458767 NJL458760:NJL458767 MZP458760:MZP458767 MPT458760:MPT458767 MFX458760:MFX458767 LWB458760:LWB458767 LMF458760:LMF458767 LCJ458760:LCJ458767 KSN458760:KSN458767 KIR458760:KIR458767 JYV458760:JYV458767 JOZ458760:JOZ458767 JFD458760:JFD458767 IVH458760:IVH458767 ILL458760:ILL458767 IBP458760:IBP458767 HRT458760:HRT458767 HHX458760:HHX458767 GYB458760:GYB458767 GOF458760:GOF458767 GEJ458760:GEJ458767 FUN458760:FUN458767 FKR458760:FKR458767 FAV458760:FAV458767 EQZ458760:EQZ458767 EHD458760:EHD458767 DXH458760:DXH458767 DNL458760:DNL458767 DDP458760:DDP458767 CTT458760:CTT458767 CJX458760:CJX458767 CAB458760:CAB458767 BQF458760:BQF458767 BGJ458760:BGJ458767 AWN458760:AWN458767 AMR458760:AMR458767 ACV458760:ACV458767 SZ458760:SZ458767 JD458760:JD458767 D458760:E458767 WVP393224:WVP393231 WLT393224:WLT393231 WBX393224:WBX393231 VSB393224:VSB393231 VIF393224:VIF393231 UYJ393224:UYJ393231 UON393224:UON393231 UER393224:UER393231 TUV393224:TUV393231 TKZ393224:TKZ393231 TBD393224:TBD393231 SRH393224:SRH393231 SHL393224:SHL393231 RXP393224:RXP393231 RNT393224:RNT393231 RDX393224:RDX393231 QUB393224:QUB393231 QKF393224:QKF393231 QAJ393224:QAJ393231 PQN393224:PQN393231 PGR393224:PGR393231 OWV393224:OWV393231 OMZ393224:OMZ393231 ODD393224:ODD393231 NTH393224:NTH393231 NJL393224:NJL393231 MZP393224:MZP393231 MPT393224:MPT393231 MFX393224:MFX393231 LWB393224:LWB393231 LMF393224:LMF393231 LCJ393224:LCJ393231 KSN393224:KSN393231 KIR393224:KIR393231 JYV393224:JYV393231 JOZ393224:JOZ393231 JFD393224:JFD393231 IVH393224:IVH393231 ILL393224:ILL393231 IBP393224:IBP393231 HRT393224:HRT393231 HHX393224:HHX393231 GYB393224:GYB393231 GOF393224:GOF393231 GEJ393224:GEJ393231 FUN393224:FUN393231 FKR393224:FKR393231 FAV393224:FAV393231 EQZ393224:EQZ393231 EHD393224:EHD393231 DXH393224:DXH393231 DNL393224:DNL393231 DDP393224:DDP393231 CTT393224:CTT393231 CJX393224:CJX393231 CAB393224:CAB393231 BQF393224:BQF393231 BGJ393224:BGJ393231 AWN393224:AWN393231 AMR393224:AMR393231 ACV393224:ACV393231 SZ393224:SZ393231 JD393224:JD393231 D393224:E393231 WVP327688:WVP327695 WLT327688:WLT327695 WBX327688:WBX327695 VSB327688:VSB327695 VIF327688:VIF327695 UYJ327688:UYJ327695 UON327688:UON327695 UER327688:UER327695 TUV327688:TUV327695 TKZ327688:TKZ327695 TBD327688:TBD327695 SRH327688:SRH327695 SHL327688:SHL327695 RXP327688:RXP327695 RNT327688:RNT327695 RDX327688:RDX327695 QUB327688:QUB327695 QKF327688:QKF327695 QAJ327688:QAJ327695 PQN327688:PQN327695 PGR327688:PGR327695 OWV327688:OWV327695 OMZ327688:OMZ327695 ODD327688:ODD327695 NTH327688:NTH327695 NJL327688:NJL327695 MZP327688:MZP327695 MPT327688:MPT327695 MFX327688:MFX327695 LWB327688:LWB327695 LMF327688:LMF327695 LCJ327688:LCJ327695 KSN327688:KSN327695 KIR327688:KIR327695 JYV327688:JYV327695 JOZ327688:JOZ327695 JFD327688:JFD327695 IVH327688:IVH327695 ILL327688:ILL327695 IBP327688:IBP327695 HRT327688:HRT327695 HHX327688:HHX327695 GYB327688:GYB327695 GOF327688:GOF327695 GEJ327688:GEJ327695 FUN327688:FUN327695 FKR327688:FKR327695 FAV327688:FAV327695 EQZ327688:EQZ327695 EHD327688:EHD327695 DXH327688:DXH327695 DNL327688:DNL327695 DDP327688:DDP327695 CTT327688:CTT327695 CJX327688:CJX327695 CAB327688:CAB327695 BQF327688:BQF327695 BGJ327688:BGJ327695 AWN327688:AWN327695 AMR327688:AMR327695 ACV327688:ACV327695 SZ327688:SZ327695 JD327688:JD327695 D327688:E327695 WVP262152:WVP262159 WLT262152:WLT262159 WBX262152:WBX262159 VSB262152:VSB262159 VIF262152:VIF262159 UYJ262152:UYJ262159 UON262152:UON262159 UER262152:UER262159 TUV262152:TUV262159 TKZ262152:TKZ262159 TBD262152:TBD262159 SRH262152:SRH262159 SHL262152:SHL262159 RXP262152:RXP262159 RNT262152:RNT262159 RDX262152:RDX262159 QUB262152:QUB262159 QKF262152:QKF262159 QAJ262152:QAJ262159 PQN262152:PQN262159 PGR262152:PGR262159 OWV262152:OWV262159 OMZ262152:OMZ262159 ODD262152:ODD262159 NTH262152:NTH262159 NJL262152:NJL262159 MZP262152:MZP262159 MPT262152:MPT262159 MFX262152:MFX262159 LWB262152:LWB262159 LMF262152:LMF262159 LCJ262152:LCJ262159 KSN262152:KSN262159 KIR262152:KIR262159 JYV262152:JYV262159 JOZ262152:JOZ262159 JFD262152:JFD262159 IVH262152:IVH262159 ILL262152:ILL262159 IBP262152:IBP262159 HRT262152:HRT262159 HHX262152:HHX262159 GYB262152:GYB262159 GOF262152:GOF262159 GEJ262152:GEJ262159 FUN262152:FUN262159 FKR262152:FKR262159 FAV262152:FAV262159 EQZ262152:EQZ262159 EHD262152:EHD262159 DXH262152:DXH262159 DNL262152:DNL262159 DDP262152:DDP262159 CTT262152:CTT262159 CJX262152:CJX262159 CAB262152:CAB262159 BQF262152:BQF262159 BGJ262152:BGJ262159 AWN262152:AWN262159 AMR262152:AMR262159 ACV262152:ACV262159 SZ262152:SZ262159 JD262152:JD262159 D262152:E262159 WVP196616:WVP196623 WLT196616:WLT196623 WBX196616:WBX196623 VSB196616:VSB196623 VIF196616:VIF196623 UYJ196616:UYJ196623 UON196616:UON196623 UER196616:UER196623 TUV196616:TUV196623 TKZ196616:TKZ196623 TBD196616:TBD196623 SRH196616:SRH196623 SHL196616:SHL196623 RXP196616:RXP196623 RNT196616:RNT196623 RDX196616:RDX196623 QUB196616:QUB196623 QKF196616:QKF196623 QAJ196616:QAJ196623 PQN196616:PQN196623 PGR196616:PGR196623 OWV196616:OWV196623 OMZ196616:OMZ196623 ODD196616:ODD196623 NTH196616:NTH196623 NJL196616:NJL196623 MZP196616:MZP196623 MPT196616:MPT196623 MFX196616:MFX196623 LWB196616:LWB196623 LMF196616:LMF196623 LCJ196616:LCJ196623 KSN196616:KSN196623 KIR196616:KIR196623 JYV196616:JYV196623 JOZ196616:JOZ196623 JFD196616:JFD196623 IVH196616:IVH196623 ILL196616:ILL196623 IBP196616:IBP196623 HRT196616:HRT196623 HHX196616:HHX196623 GYB196616:GYB196623 GOF196616:GOF196623 GEJ196616:GEJ196623 FUN196616:FUN196623 FKR196616:FKR196623 FAV196616:FAV196623 EQZ196616:EQZ196623 EHD196616:EHD196623 DXH196616:DXH196623 DNL196616:DNL196623 DDP196616:DDP196623 CTT196616:CTT196623 CJX196616:CJX196623 CAB196616:CAB196623 BQF196616:BQF196623 BGJ196616:BGJ196623 AWN196616:AWN196623 AMR196616:AMR196623 ACV196616:ACV196623 SZ196616:SZ196623 JD196616:JD196623 D196616:E196623 WVP131080:WVP131087 WLT131080:WLT131087 WBX131080:WBX131087 VSB131080:VSB131087 VIF131080:VIF131087 UYJ131080:UYJ131087 UON131080:UON131087 UER131080:UER131087 TUV131080:TUV131087 TKZ131080:TKZ131087 TBD131080:TBD131087 SRH131080:SRH131087 SHL131080:SHL131087 RXP131080:RXP131087 RNT131080:RNT131087 RDX131080:RDX131087 QUB131080:QUB131087 QKF131080:QKF131087 QAJ131080:QAJ131087 PQN131080:PQN131087 PGR131080:PGR131087 OWV131080:OWV131087 OMZ131080:OMZ131087 ODD131080:ODD131087 NTH131080:NTH131087 NJL131080:NJL131087 MZP131080:MZP131087 MPT131080:MPT131087 MFX131080:MFX131087 LWB131080:LWB131087 LMF131080:LMF131087 LCJ131080:LCJ131087 KSN131080:KSN131087 KIR131080:KIR131087 JYV131080:JYV131087 JOZ131080:JOZ131087 JFD131080:JFD131087 IVH131080:IVH131087 ILL131080:ILL131087 IBP131080:IBP131087 HRT131080:HRT131087 HHX131080:HHX131087 GYB131080:GYB131087 GOF131080:GOF131087 GEJ131080:GEJ131087 FUN131080:FUN131087 FKR131080:FKR131087 FAV131080:FAV131087 EQZ131080:EQZ131087 EHD131080:EHD131087 DXH131080:DXH131087 DNL131080:DNL131087 DDP131080:DDP131087 CTT131080:CTT131087 CJX131080:CJX131087 CAB131080:CAB131087 BQF131080:BQF131087 BGJ131080:BGJ131087 AWN131080:AWN131087 AMR131080:AMR131087 ACV131080:ACV131087 SZ131080:SZ131087 JD131080:JD131087 D131080:E131087 WVP65544:WVP65551 WLT65544:WLT65551 WBX65544:WBX65551 VSB65544:VSB65551 VIF65544:VIF65551 UYJ65544:UYJ65551 UON65544:UON65551 UER65544:UER65551 TUV65544:TUV65551 TKZ65544:TKZ65551 TBD65544:TBD65551 SRH65544:SRH65551 SHL65544:SHL65551 RXP65544:RXP65551 RNT65544:RNT65551 RDX65544:RDX65551 QUB65544:QUB65551 QKF65544:QKF65551 QAJ65544:QAJ65551 PQN65544:PQN65551 PGR65544:PGR65551 OWV65544:OWV65551 OMZ65544:OMZ65551 ODD65544:ODD65551 NTH65544:NTH65551 NJL65544:NJL65551 MZP65544:MZP65551 MPT65544:MPT65551 MFX65544:MFX65551 LWB65544:LWB65551 LMF65544:LMF65551 LCJ65544:LCJ65551 KSN65544:KSN65551 KIR65544:KIR65551 JYV65544:JYV65551 JOZ65544:JOZ65551 JFD65544:JFD65551 IVH65544:IVH65551 ILL65544:ILL65551 IBP65544:IBP65551 HRT65544:HRT65551 HHX65544:HHX65551 GYB65544:GYB65551 GOF65544:GOF65551 GEJ65544:GEJ65551 FUN65544:FUN65551 FKR65544:FKR65551 FAV65544:FAV65551 EQZ65544:EQZ65551 EHD65544:EHD65551 DXH65544:DXH65551 DNL65544:DNL65551 DDP65544:DDP65551 CTT65544:CTT65551 CJX65544:CJX65551 CAB65544:CAB65551 BQF65544:BQF65551 BGJ65544:BGJ65551 AWN65544:AWN65551 AMR65544:AMR65551 ACV65544:ACV65551 SZ65544:SZ65551 JD65544:JD65551 D8:D15" xr:uid="{FF819628-5F52-4D5C-A84C-4A6FE1E90FAB}">
      <formula1>C$29:C$30</formula1>
    </dataValidation>
    <dataValidation type="list" allowBlank="1" showInputMessage="1" showErrorMessage="1" sqref="WVW983048:WVW983055 L8:L15 WMA983048:WMA983055 WCE983048:WCE983055 VSI983048:VSI983055 VIM983048:VIM983055 UYQ983048:UYQ983055 UOU983048:UOU983055 UEY983048:UEY983055 TVC983048:TVC983055 TLG983048:TLG983055 TBK983048:TBK983055 SRO983048:SRO983055 SHS983048:SHS983055 RXW983048:RXW983055 ROA983048:ROA983055 REE983048:REE983055 QUI983048:QUI983055 QKM983048:QKM983055 QAQ983048:QAQ983055 PQU983048:PQU983055 PGY983048:PGY983055 OXC983048:OXC983055 ONG983048:ONG983055 ODK983048:ODK983055 NTO983048:NTO983055 NJS983048:NJS983055 MZW983048:MZW983055 MQA983048:MQA983055 MGE983048:MGE983055 LWI983048:LWI983055 LMM983048:LMM983055 LCQ983048:LCQ983055 KSU983048:KSU983055 KIY983048:KIY983055 JZC983048:JZC983055 JPG983048:JPG983055 JFK983048:JFK983055 IVO983048:IVO983055 ILS983048:ILS983055 IBW983048:IBW983055 HSA983048:HSA983055 HIE983048:HIE983055 GYI983048:GYI983055 GOM983048:GOM983055 GEQ983048:GEQ983055 FUU983048:FUU983055 FKY983048:FKY983055 FBC983048:FBC983055 ERG983048:ERG983055 EHK983048:EHK983055 DXO983048:DXO983055 DNS983048:DNS983055 DDW983048:DDW983055 CUA983048:CUA983055 CKE983048:CKE983055 CAI983048:CAI983055 BQM983048:BQM983055 BGQ983048:BGQ983055 AWU983048:AWU983055 AMY983048:AMY983055 ADC983048:ADC983055 TG983048:TG983055 JK983048:JK983055 L983048:L983055 WVW917512:WVW917519 WMA917512:WMA917519 WCE917512:WCE917519 VSI917512:VSI917519 VIM917512:VIM917519 UYQ917512:UYQ917519 UOU917512:UOU917519 UEY917512:UEY917519 TVC917512:TVC917519 TLG917512:TLG917519 TBK917512:TBK917519 SRO917512:SRO917519 SHS917512:SHS917519 RXW917512:RXW917519 ROA917512:ROA917519 REE917512:REE917519 QUI917512:QUI917519 QKM917512:QKM917519 QAQ917512:QAQ917519 PQU917512:PQU917519 PGY917512:PGY917519 OXC917512:OXC917519 ONG917512:ONG917519 ODK917512:ODK917519 NTO917512:NTO917519 NJS917512:NJS917519 MZW917512:MZW917519 MQA917512:MQA917519 MGE917512:MGE917519 LWI917512:LWI917519 LMM917512:LMM917519 LCQ917512:LCQ917519 KSU917512:KSU917519 KIY917512:KIY917519 JZC917512:JZC917519 JPG917512:JPG917519 JFK917512:JFK917519 IVO917512:IVO917519 ILS917512:ILS917519 IBW917512:IBW917519 HSA917512:HSA917519 HIE917512:HIE917519 GYI917512:GYI917519 GOM917512:GOM917519 GEQ917512:GEQ917519 FUU917512:FUU917519 FKY917512:FKY917519 FBC917512:FBC917519 ERG917512:ERG917519 EHK917512:EHK917519 DXO917512:DXO917519 DNS917512:DNS917519 DDW917512:DDW917519 CUA917512:CUA917519 CKE917512:CKE917519 CAI917512:CAI917519 BQM917512:BQM917519 BGQ917512:BGQ917519 AWU917512:AWU917519 AMY917512:AMY917519 ADC917512:ADC917519 TG917512:TG917519 JK917512:JK917519 L917512:L917519 WVW851976:WVW851983 WMA851976:WMA851983 WCE851976:WCE851983 VSI851976:VSI851983 VIM851976:VIM851983 UYQ851976:UYQ851983 UOU851976:UOU851983 UEY851976:UEY851983 TVC851976:TVC851983 TLG851976:TLG851983 TBK851976:TBK851983 SRO851976:SRO851983 SHS851976:SHS851983 RXW851976:RXW851983 ROA851976:ROA851983 REE851976:REE851983 QUI851976:QUI851983 QKM851976:QKM851983 QAQ851976:QAQ851983 PQU851976:PQU851983 PGY851976:PGY851983 OXC851976:OXC851983 ONG851976:ONG851983 ODK851976:ODK851983 NTO851976:NTO851983 NJS851976:NJS851983 MZW851976:MZW851983 MQA851976:MQA851983 MGE851976:MGE851983 LWI851976:LWI851983 LMM851976:LMM851983 LCQ851976:LCQ851983 KSU851976:KSU851983 KIY851976:KIY851983 JZC851976:JZC851983 JPG851976:JPG851983 JFK851976:JFK851983 IVO851976:IVO851983 ILS851976:ILS851983 IBW851976:IBW851983 HSA851976:HSA851983 HIE851976:HIE851983 GYI851976:GYI851983 GOM851976:GOM851983 GEQ851976:GEQ851983 FUU851976:FUU851983 FKY851976:FKY851983 FBC851976:FBC851983 ERG851976:ERG851983 EHK851976:EHK851983 DXO851976:DXO851983 DNS851976:DNS851983 DDW851976:DDW851983 CUA851976:CUA851983 CKE851976:CKE851983 CAI851976:CAI851983 BQM851976:BQM851983 BGQ851976:BGQ851983 AWU851976:AWU851983 AMY851976:AMY851983 ADC851976:ADC851983 TG851976:TG851983 JK851976:JK851983 L851976:L851983 WVW786440:WVW786447 WMA786440:WMA786447 WCE786440:WCE786447 VSI786440:VSI786447 VIM786440:VIM786447 UYQ786440:UYQ786447 UOU786440:UOU786447 UEY786440:UEY786447 TVC786440:TVC786447 TLG786440:TLG786447 TBK786440:TBK786447 SRO786440:SRO786447 SHS786440:SHS786447 RXW786440:RXW786447 ROA786440:ROA786447 REE786440:REE786447 QUI786440:QUI786447 QKM786440:QKM786447 QAQ786440:QAQ786447 PQU786440:PQU786447 PGY786440:PGY786447 OXC786440:OXC786447 ONG786440:ONG786447 ODK786440:ODK786447 NTO786440:NTO786447 NJS786440:NJS786447 MZW786440:MZW786447 MQA786440:MQA786447 MGE786440:MGE786447 LWI786440:LWI786447 LMM786440:LMM786447 LCQ786440:LCQ786447 KSU786440:KSU786447 KIY786440:KIY786447 JZC786440:JZC786447 JPG786440:JPG786447 JFK786440:JFK786447 IVO786440:IVO786447 ILS786440:ILS786447 IBW786440:IBW786447 HSA786440:HSA786447 HIE786440:HIE786447 GYI786440:GYI786447 GOM786440:GOM786447 GEQ786440:GEQ786447 FUU786440:FUU786447 FKY786440:FKY786447 FBC786440:FBC786447 ERG786440:ERG786447 EHK786440:EHK786447 DXO786440:DXO786447 DNS786440:DNS786447 DDW786440:DDW786447 CUA786440:CUA786447 CKE786440:CKE786447 CAI786440:CAI786447 BQM786440:BQM786447 BGQ786440:BGQ786447 AWU786440:AWU786447 AMY786440:AMY786447 ADC786440:ADC786447 TG786440:TG786447 JK786440:JK786447 L786440:L786447 WVW720904:WVW720911 WMA720904:WMA720911 WCE720904:WCE720911 VSI720904:VSI720911 VIM720904:VIM720911 UYQ720904:UYQ720911 UOU720904:UOU720911 UEY720904:UEY720911 TVC720904:TVC720911 TLG720904:TLG720911 TBK720904:TBK720911 SRO720904:SRO720911 SHS720904:SHS720911 RXW720904:RXW720911 ROA720904:ROA720911 REE720904:REE720911 QUI720904:QUI720911 QKM720904:QKM720911 QAQ720904:QAQ720911 PQU720904:PQU720911 PGY720904:PGY720911 OXC720904:OXC720911 ONG720904:ONG720911 ODK720904:ODK720911 NTO720904:NTO720911 NJS720904:NJS720911 MZW720904:MZW720911 MQA720904:MQA720911 MGE720904:MGE720911 LWI720904:LWI720911 LMM720904:LMM720911 LCQ720904:LCQ720911 KSU720904:KSU720911 KIY720904:KIY720911 JZC720904:JZC720911 JPG720904:JPG720911 JFK720904:JFK720911 IVO720904:IVO720911 ILS720904:ILS720911 IBW720904:IBW720911 HSA720904:HSA720911 HIE720904:HIE720911 GYI720904:GYI720911 GOM720904:GOM720911 GEQ720904:GEQ720911 FUU720904:FUU720911 FKY720904:FKY720911 FBC720904:FBC720911 ERG720904:ERG720911 EHK720904:EHK720911 DXO720904:DXO720911 DNS720904:DNS720911 DDW720904:DDW720911 CUA720904:CUA720911 CKE720904:CKE720911 CAI720904:CAI720911 BQM720904:BQM720911 BGQ720904:BGQ720911 AWU720904:AWU720911 AMY720904:AMY720911 ADC720904:ADC720911 TG720904:TG720911 JK720904:JK720911 L720904:L720911 WVW655368:WVW655375 WMA655368:WMA655375 WCE655368:WCE655375 VSI655368:VSI655375 VIM655368:VIM655375 UYQ655368:UYQ655375 UOU655368:UOU655375 UEY655368:UEY655375 TVC655368:TVC655375 TLG655368:TLG655375 TBK655368:TBK655375 SRO655368:SRO655375 SHS655368:SHS655375 RXW655368:RXW655375 ROA655368:ROA655375 REE655368:REE655375 QUI655368:QUI655375 QKM655368:QKM655375 QAQ655368:QAQ655375 PQU655368:PQU655375 PGY655368:PGY655375 OXC655368:OXC655375 ONG655368:ONG655375 ODK655368:ODK655375 NTO655368:NTO655375 NJS655368:NJS655375 MZW655368:MZW655375 MQA655368:MQA655375 MGE655368:MGE655375 LWI655368:LWI655375 LMM655368:LMM655375 LCQ655368:LCQ655375 KSU655368:KSU655375 KIY655368:KIY655375 JZC655368:JZC655375 JPG655368:JPG655375 JFK655368:JFK655375 IVO655368:IVO655375 ILS655368:ILS655375 IBW655368:IBW655375 HSA655368:HSA655375 HIE655368:HIE655375 GYI655368:GYI655375 GOM655368:GOM655375 GEQ655368:GEQ655375 FUU655368:FUU655375 FKY655368:FKY655375 FBC655368:FBC655375 ERG655368:ERG655375 EHK655368:EHK655375 DXO655368:DXO655375 DNS655368:DNS655375 DDW655368:DDW655375 CUA655368:CUA655375 CKE655368:CKE655375 CAI655368:CAI655375 BQM655368:BQM655375 BGQ655368:BGQ655375 AWU655368:AWU655375 AMY655368:AMY655375 ADC655368:ADC655375 TG655368:TG655375 JK655368:JK655375 L655368:L655375 WVW589832:WVW589839 WMA589832:WMA589839 WCE589832:WCE589839 VSI589832:VSI589839 VIM589832:VIM589839 UYQ589832:UYQ589839 UOU589832:UOU589839 UEY589832:UEY589839 TVC589832:TVC589839 TLG589832:TLG589839 TBK589832:TBK589839 SRO589832:SRO589839 SHS589832:SHS589839 RXW589832:RXW589839 ROA589832:ROA589839 REE589832:REE589839 QUI589832:QUI589839 QKM589832:QKM589839 QAQ589832:QAQ589839 PQU589832:PQU589839 PGY589832:PGY589839 OXC589832:OXC589839 ONG589832:ONG589839 ODK589832:ODK589839 NTO589832:NTO589839 NJS589832:NJS589839 MZW589832:MZW589839 MQA589832:MQA589839 MGE589832:MGE589839 LWI589832:LWI589839 LMM589832:LMM589839 LCQ589832:LCQ589839 KSU589832:KSU589839 KIY589832:KIY589839 JZC589832:JZC589839 JPG589832:JPG589839 JFK589832:JFK589839 IVO589832:IVO589839 ILS589832:ILS589839 IBW589832:IBW589839 HSA589832:HSA589839 HIE589832:HIE589839 GYI589832:GYI589839 GOM589832:GOM589839 GEQ589832:GEQ589839 FUU589832:FUU589839 FKY589832:FKY589839 FBC589832:FBC589839 ERG589832:ERG589839 EHK589832:EHK589839 DXO589832:DXO589839 DNS589832:DNS589839 DDW589832:DDW589839 CUA589832:CUA589839 CKE589832:CKE589839 CAI589832:CAI589839 BQM589832:BQM589839 BGQ589832:BGQ589839 AWU589832:AWU589839 AMY589832:AMY589839 ADC589832:ADC589839 TG589832:TG589839 JK589832:JK589839 L589832:L589839 WVW524296:WVW524303 WMA524296:WMA524303 WCE524296:WCE524303 VSI524296:VSI524303 VIM524296:VIM524303 UYQ524296:UYQ524303 UOU524296:UOU524303 UEY524296:UEY524303 TVC524296:TVC524303 TLG524296:TLG524303 TBK524296:TBK524303 SRO524296:SRO524303 SHS524296:SHS524303 RXW524296:RXW524303 ROA524296:ROA524303 REE524296:REE524303 QUI524296:QUI524303 QKM524296:QKM524303 QAQ524296:QAQ524303 PQU524296:PQU524303 PGY524296:PGY524303 OXC524296:OXC524303 ONG524296:ONG524303 ODK524296:ODK524303 NTO524296:NTO524303 NJS524296:NJS524303 MZW524296:MZW524303 MQA524296:MQA524303 MGE524296:MGE524303 LWI524296:LWI524303 LMM524296:LMM524303 LCQ524296:LCQ524303 KSU524296:KSU524303 KIY524296:KIY524303 JZC524296:JZC524303 JPG524296:JPG524303 JFK524296:JFK524303 IVO524296:IVO524303 ILS524296:ILS524303 IBW524296:IBW524303 HSA524296:HSA524303 HIE524296:HIE524303 GYI524296:GYI524303 GOM524296:GOM524303 GEQ524296:GEQ524303 FUU524296:FUU524303 FKY524296:FKY524303 FBC524296:FBC524303 ERG524296:ERG524303 EHK524296:EHK524303 DXO524296:DXO524303 DNS524296:DNS524303 DDW524296:DDW524303 CUA524296:CUA524303 CKE524296:CKE524303 CAI524296:CAI524303 BQM524296:BQM524303 BGQ524296:BGQ524303 AWU524296:AWU524303 AMY524296:AMY524303 ADC524296:ADC524303 TG524296:TG524303 JK524296:JK524303 L524296:L524303 WVW458760:WVW458767 WMA458760:WMA458767 WCE458760:WCE458767 VSI458760:VSI458767 VIM458760:VIM458767 UYQ458760:UYQ458767 UOU458760:UOU458767 UEY458760:UEY458767 TVC458760:TVC458767 TLG458760:TLG458767 TBK458760:TBK458767 SRO458760:SRO458767 SHS458760:SHS458767 RXW458760:RXW458767 ROA458760:ROA458767 REE458760:REE458767 QUI458760:QUI458767 QKM458760:QKM458767 QAQ458760:QAQ458767 PQU458760:PQU458767 PGY458760:PGY458767 OXC458760:OXC458767 ONG458760:ONG458767 ODK458760:ODK458767 NTO458760:NTO458767 NJS458760:NJS458767 MZW458760:MZW458767 MQA458760:MQA458767 MGE458760:MGE458767 LWI458760:LWI458767 LMM458760:LMM458767 LCQ458760:LCQ458767 KSU458760:KSU458767 KIY458760:KIY458767 JZC458760:JZC458767 JPG458760:JPG458767 JFK458760:JFK458767 IVO458760:IVO458767 ILS458760:ILS458767 IBW458760:IBW458767 HSA458760:HSA458767 HIE458760:HIE458767 GYI458760:GYI458767 GOM458760:GOM458767 GEQ458760:GEQ458767 FUU458760:FUU458767 FKY458760:FKY458767 FBC458760:FBC458767 ERG458760:ERG458767 EHK458760:EHK458767 DXO458760:DXO458767 DNS458760:DNS458767 DDW458760:DDW458767 CUA458760:CUA458767 CKE458760:CKE458767 CAI458760:CAI458767 BQM458760:BQM458767 BGQ458760:BGQ458767 AWU458760:AWU458767 AMY458760:AMY458767 ADC458760:ADC458767 TG458760:TG458767 JK458760:JK458767 L458760:L458767 WVW393224:WVW393231 WMA393224:WMA393231 WCE393224:WCE393231 VSI393224:VSI393231 VIM393224:VIM393231 UYQ393224:UYQ393231 UOU393224:UOU393231 UEY393224:UEY393231 TVC393224:TVC393231 TLG393224:TLG393231 TBK393224:TBK393231 SRO393224:SRO393231 SHS393224:SHS393231 RXW393224:RXW393231 ROA393224:ROA393231 REE393224:REE393231 QUI393224:QUI393231 QKM393224:QKM393231 QAQ393224:QAQ393231 PQU393224:PQU393231 PGY393224:PGY393231 OXC393224:OXC393231 ONG393224:ONG393231 ODK393224:ODK393231 NTO393224:NTO393231 NJS393224:NJS393231 MZW393224:MZW393231 MQA393224:MQA393231 MGE393224:MGE393231 LWI393224:LWI393231 LMM393224:LMM393231 LCQ393224:LCQ393231 KSU393224:KSU393231 KIY393224:KIY393231 JZC393224:JZC393231 JPG393224:JPG393231 JFK393224:JFK393231 IVO393224:IVO393231 ILS393224:ILS393231 IBW393224:IBW393231 HSA393224:HSA393231 HIE393224:HIE393231 GYI393224:GYI393231 GOM393224:GOM393231 GEQ393224:GEQ393231 FUU393224:FUU393231 FKY393224:FKY393231 FBC393224:FBC393231 ERG393224:ERG393231 EHK393224:EHK393231 DXO393224:DXO393231 DNS393224:DNS393231 DDW393224:DDW393231 CUA393224:CUA393231 CKE393224:CKE393231 CAI393224:CAI393231 BQM393224:BQM393231 BGQ393224:BGQ393231 AWU393224:AWU393231 AMY393224:AMY393231 ADC393224:ADC393231 TG393224:TG393231 JK393224:JK393231 L393224:L393231 WVW327688:WVW327695 WMA327688:WMA327695 WCE327688:WCE327695 VSI327688:VSI327695 VIM327688:VIM327695 UYQ327688:UYQ327695 UOU327688:UOU327695 UEY327688:UEY327695 TVC327688:TVC327695 TLG327688:TLG327695 TBK327688:TBK327695 SRO327688:SRO327695 SHS327688:SHS327695 RXW327688:RXW327695 ROA327688:ROA327695 REE327688:REE327695 QUI327688:QUI327695 QKM327688:QKM327695 QAQ327688:QAQ327695 PQU327688:PQU327695 PGY327688:PGY327695 OXC327688:OXC327695 ONG327688:ONG327695 ODK327688:ODK327695 NTO327688:NTO327695 NJS327688:NJS327695 MZW327688:MZW327695 MQA327688:MQA327695 MGE327688:MGE327695 LWI327688:LWI327695 LMM327688:LMM327695 LCQ327688:LCQ327695 KSU327688:KSU327695 KIY327688:KIY327695 JZC327688:JZC327695 JPG327688:JPG327695 JFK327688:JFK327695 IVO327688:IVO327695 ILS327688:ILS327695 IBW327688:IBW327695 HSA327688:HSA327695 HIE327688:HIE327695 GYI327688:GYI327695 GOM327688:GOM327695 GEQ327688:GEQ327695 FUU327688:FUU327695 FKY327688:FKY327695 FBC327688:FBC327695 ERG327688:ERG327695 EHK327688:EHK327695 DXO327688:DXO327695 DNS327688:DNS327695 DDW327688:DDW327695 CUA327688:CUA327695 CKE327688:CKE327695 CAI327688:CAI327695 BQM327688:BQM327695 BGQ327688:BGQ327695 AWU327688:AWU327695 AMY327688:AMY327695 ADC327688:ADC327695 TG327688:TG327695 JK327688:JK327695 L327688:L327695 WVW262152:WVW262159 WMA262152:WMA262159 WCE262152:WCE262159 VSI262152:VSI262159 VIM262152:VIM262159 UYQ262152:UYQ262159 UOU262152:UOU262159 UEY262152:UEY262159 TVC262152:TVC262159 TLG262152:TLG262159 TBK262152:TBK262159 SRO262152:SRO262159 SHS262152:SHS262159 RXW262152:RXW262159 ROA262152:ROA262159 REE262152:REE262159 QUI262152:QUI262159 QKM262152:QKM262159 QAQ262152:QAQ262159 PQU262152:PQU262159 PGY262152:PGY262159 OXC262152:OXC262159 ONG262152:ONG262159 ODK262152:ODK262159 NTO262152:NTO262159 NJS262152:NJS262159 MZW262152:MZW262159 MQA262152:MQA262159 MGE262152:MGE262159 LWI262152:LWI262159 LMM262152:LMM262159 LCQ262152:LCQ262159 KSU262152:KSU262159 KIY262152:KIY262159 JZC262152:JZC262159 JPG262152:JPG262159 JFK262152:JFK262159 IVO262152:IVO262159 ILS262152:ILS262159 IBW262152:IBW262159 HSA262152:HSA262159 HIE262152:HIE262159 GYI262152:GYI262159 GOM262152:GOM262159 GEQ262152:GEQ262159 FUU262152:FUU262159 FKY262152:FKY262159 FBC262152:FBC262159 ERG262152:ERG262159 EHK262152:EHK262159 DXO262152:DXO262159 DNS262152:DNS262159 DDW262152:DDW262159 CUA262152:CUA262159 CKE262152:CKE262159 CAI262152:CAI262159 BQM262152:BQM262159 BGQ262152:BGQ262159 AWU262152:AWU262159 AMY262152:AMY262159 ADC262152:ADC262159 TG262152:TG262159 JK262152:JK262159 L262152:L262159 WVW196616:WVW196623 WMA196616:WMA196623 WCE196616:WCE196623 VSI196616:VSI196623 VIM196616:VIM196623 UYQ196616:UYQ196623 UOU196616:UOU196623 UEY196616:UEY196623 TVC196616:TVC196623 TLG196616:TLG196623 TBK196616:TBK196623 SRO196616:SRO196623 SHS196616:SHS196623 RXW196616:RXW196623 ROA196616:ROA196623 REE196616:REE196623 QUI196616:QUI196623 QKM196616:QKM196623 QAQ196616:QAQ196623 PQU196616:PQU196623 PGY196616:PGY196623 OXC196616:OXC196623 ONG196616:ONG196623 ODK196616:ODK196623 NTO196616:NTO196623 NJS196616:NJS196623 MZW196616:MZW196623 MQA196616:MQA196623 MGE196616:MGE196623 LWI196616:LWI196623 LMM196616:LMM196623 LCQ196616:LCQ196623 KSU196616:KSU196623 KIY196616:KIY196623 JZC196616:JZC196623 JPG196616:JPG196623 JFK196616:JFK196623 IVO196616:IVO196623 ILS196616:ILS196623 IBW196616:IBW196623 HSA196616:HSA196623 HIE196616:HIE196623 GYI196616:GYI196623 GOM196616:GOM196623 GEQ196616:GEQ196623 FUU196616:FUU196623 FKY196616:FKY196623 FBC196616:FBC196623 ERG196616:ERG196623 EHK196616:EHK196623 DXO196616:DXO196623 DNS196616:DNS196623 DDW196616:DDW196623 CUA196616:CUA196623 CKE196616:CKE196623 CAI196616:CAI196623 BQM196616:BQM196623 BGQ196616:BGQ196623 AWU196616:AWU196623 AMY196616:AMY196623 ADC196616:ADC196623 TG196616:TG196623 JK196616:JK196623 L196616:L196623 WVW131080:WVW131087 WMA131080:WMA131087 WCE131080:WCE131087 VSI131080:VSI131087 VIM131080:VIM131087 UYQ131080:UYQ131087 UOU131080:UOU131087 UEY131080:UEY131087 TVC131080:TVC131087 TLG131080:TLG131087 TBK131080:TBK131087 SRO131080:SRO131087 SHS131080:SHS131087 RXW131080:RXW131087 ROA131080:ROA131087 REE131080:REE131087 QUI131080:QUI131087 QKM131080:QKM131087 QAQ131080:QAQ131087 PQU131080:PQU131087 PGY131080:PGY131087 OXC131080:OXC131087 ONG131080:ONG131087 ODK131080:ODK131087 NTO131080:NTO131087 NJS131080:NJS131087 MZW131080:MZW131087 MQA131080:MQA131087 MGE131080:MGE131087 LWI131080:LWI131087 LMM131080:LMM131087 LCQ131080:LCQ131087 KSU131080:KSU131087 KIY131080:KIY131087 JZC131080:JZC131087 JPG131080:JPG131087 JFK131080:JFK131087 IVO131080:IVO131087 ILS131080:ILS131087 IBW131080:IBW131087 HSA131080:HSA131087 HIE131080:HIE131087 GYI131080:GYI131087 GOM131080:GOM131087 GEQ131080:GEQ131087 FUU131080:FUU131087 FKY131080:FKY131087 FBC131080:FBC131087 ERG131080:ERG131087 EHK131080:EHK131087 DXO131080:DXO131087 DNS131080:DNS131087 DDW131080:DDW131087 CUA131080:CUA131087 CKE131080:CKE131087 CAI131080:CAI131087 BQM131080:BQM131087 BGQ131080:BGQ131087 AWU131080:AWU131087 AMY131080:AMY131087 ADC131080:ADC131087 TG131080:TG131087 JK131080:JK131087 L131080:L131087 WVW65544:WVW65551 WMA65544:WMA65551 WCE65544:WCE65551 VSI65544:VSI65551 VIM65544:VIM65551 UYQ65544:UYQ65551 UOU65544:UOU65551 UEY65544:UEY65551 TVC65544:TVC65551 TLG65544:TLG65551 TBK65544:TBK65551 SRO65544:SRO65551 SHS65544:SHS65551 RXW65544:RXW65551 ROA65544:ROA65551 REE65544:REE65551 QUI65544:QUI65551 QKM65544:QKM65551 QAQ65544:QAQ65551 PQU65544:PQU65551 PGY65544:PGY65551 OXC65544:OXC65551 ONG65544:ONG65551 ODK65544:ODK65551 NTO65544:NTO65551 NJS65544:NJS65551 MZW65544:MZW65551 MQA65544:MQA65551 MGE65544:MGE65551 LWI65544:LWI65551 LMM65544:LMM65551 LCQ65544:LCQ65551 KSU65544:KSU65551 KIY65544:KIY65551 JZC65544:JZC65551 JPG65544:JPG65551 JFK65544:JFK65551 IVO65544:IVO65551 ILS65544:ILS65551 IBW65544:IBW65551 HSA65544:HSA65551 HIE65544:HIE65551 GYI65544:GYI65551 GOM65544:GOM65551 GEQ65544:GEQ65551 FUU65544:FUU65551 FKY65544:FKY65551 FBC65544:FBC65551 ERG65544:ERG65551 EHK65544:EHK65551 DXO65544:DXO65551 DNS65544:DNS65551 DDW65544:DDW65551 CUA65544:CUA65551 CKE65544:CKE65551 CAI65544:CAI65551 BQM65544:BQM65551 BGQ65544:BGQ65551 AWU65544:AWU65551 AMY65544:AMY65551 ADC65544:ADC65551 TG65544:TG65551 JK65544:JK65551 L65544:L65551 WVX8:WVX15 WMB8:WMB15 WCF8:WCF15 VSJ8:VSJ15 VIN8:VIN15 UYR8:UYR15 UOV8:UOV15 UEZ8:UEZ15 TVD8:TVD15 TLH8:TLH15 TBL8:TBL15 SRP8:SRP15 SHT8:SHT15 RXX8:RXX15 ROB8:ROB15 REF8:REF15 QUJ8:QUJ15 QKN8:QKN15 QAR8:QAR15 PQV8:PQV15 PGZ8:PGZ15 OXD8:OXD15 ONH8:ONH15 ODL8:ODL15 NTP8:NTP15 NJT8:NJT15 MZX8:MZX15 MQB8:MQB15 MGF8:MGF15 LWJ8:LWJ15 LMN8:LMN15 LCR8:LCR15 KSV8:KSV15 KIZ8:KIZ15 JZD8:JZD15 JPH8:JPH15 JFL8:JFL15 IVP8:IVP15 ILT8:ILT15 IBX8:IBX15 HSB8:HSB15 HIF8:HIF15 GYJ8:GYJ15 GON8:GON15 GER8:GER15 FUV8:FUV15 FKZ8:FKZ15 FBD8:FBD15 ERH8:ERH15 EHL8:EHL15 DXP8:DXP15 DNT8:DNT15 DDX8:DDX15 CUB8:CUB15 CKF8:CKF15 CAJ8:CAJ15 BQN8:BQN15 BGR8:BGR15 AWV8:AWV15 AMZ8:AMZ15 ADD8:ADD15 TH8:TH15 JL8:JL15" xr:uid="{75EC4B8A-EE77-4BA2-B478-4B439EF81E90}">
      <formula1>$D$23:$D$24</formula1>
    </dataValidation>
    <dataValidation type="list" allowBlank="1" showInputMessage="1" showErrorMessage="1" sqref="WVV983048:WVV983055 K8:K15 WLZ983048:WLZ983055 WCD983048:WCD983055 VSH983048:VSH983055 VIL983048:VIL983055 UYP983048:UYP983055 UOT983048:UOT983055 UEX983048:UEX983055 TVB983048:TVB983055 TLF983048:TLF983055 TBJ983048:TBJ983055 SRN983048:SRN983055 SHR983048:SHR983055 RXV983048:RXV983055 RNZ983048:RNZ983055 RED983048:RED983055 QUH983048:QUH983055 QKL983048:QKL983055 QAP983048:QAP983055 PQT983048:PQT983055 PGX983048:PGX983055 OXB983048:OXB983055 ONF983048:ONF983055 ODJ983048:ODJ983055 NTN983048:NTN983055 NJR983048:NJR983055 MZV983048:MZV983055 MPZ983048:MPZ983055 MGD983048:MGD983055 LWH983048:LWH983055 LML983048:LML983055 LCP983048:LCP983055 KST983048:KST983055 KIX983048:KIX983055 JZB983048:JZB983055 JPF983048:JPF983055 JFJ983048:JFJ983055 IVN983048:IVN983055 ILR983048:ILR983055 IBV983048:IBV983055 HRZ983048:HRZ983055 HID983048:HID983055 GYH983048:GYH983055 GOL983048:GOL983055 GEP983048:GEP983055 FUT983048:FUT983055 FKX983048:FKX983055 FBB983048:FBB983055 ERF983048:ERF983055 EHJ983048:EHJ983055 DXN983048:DXN983055 DNR983048:DNR983055 DDV983048:DDV983055 CTZ983048:CTZ983055 CKD983048:CKD983055 CAH983048:CAH983055 BQL983048:BQL983055 BGP983048:BGP983055 AWT983048:AWT983055 AMX983048:AMX983055 ADB983048:ADB983055 TF983048:TF983055 JJ983048:JJ983055 K983048:K983055 WVV917512:WVV917519 WLZ917512:WLZ917519 WCD917512:WCD917519 VSH917512:VSH917519 VIL917512:VIL917519 UYP917512:UYP917519 UOT917512:UOT917519 UEX917512:UEX917519 TVB917512:TVB917519 TLF917512:TLF917519 TBJ917512:TBJ917519 SRN917512:SRN917519 SHR917512:SHR917519 RXV917512:RXV917519 RNZ917512:RNZ917519 RED917512:RED917519 QUH917512:QUH917519 QKL917512:QKL917519 QAP917512:QAP917519 PQT917512:PQT917519 PGX917512:PGX917519 OXB917512:OXB917519 ONF917512:ONF917519 ODJ917512:ODJ917519 NTN917512:NTN917519 NJR917512:NJR917519 MZV917512:MZV917519 MPZ917512:MPZ917519 MGD917512:MGD917519 LWH917512:LWH917519 LML917512:LML917519 LCP917512:LCP917519 KST917512:KST917519 KIX917512:KIX917519 JZB917512:JZB917519 JPF917512:JPF917519 JFJ917512:JFJ917519 IVN917512:IVN917519 ILR917512:ILR917519 IBV917512:IBV917519 HRZ917512:HRZ917519 HID917512:HID917519 GYH917512:GYH917519 GOL917512:GOL917519 GEP917512:GEP917519 FUT917512:FUT917519 FKX917512:FKX917519 FBB917512:FBB917519 ERF917512:ERF917519 EHJ917512:EHJ917519 DXN917512:DXN917519 DNR917512:DNR917519 DDV917512:DDV917519 CTZ917512:CTZ917519 CKD917512:CKD917519 CAH917512:CAH917519 BQL917512:BQL917519 BGP917512:BGP917519 AWT917512:AWT917519 AMX917512:AMX917519 ADB917512:ADB917519 TF917512:TF917519 JJ917512:JJ917519 K917512:K917519 WVV851976:WVV851983 WLZ851976:WLZ851983 WCD851976:WCD851983 VSH851976:VSH851983 VIL851976:VIL851983 UYP851976:UYP851983 UOT851976:UOT851983 UEX851976:UEX851983 TVB851976:TVB851983 TLF851976:TLF851983 TBJ851976:TBJ851983 SRN851976:SRN851983 SHR851976:SHR851983 RXV851976:RXV851983 RNZ851976:RNZ851983 RED851976:RED851983 QUH851976:QUH851983 QKL851976:QKL851983 QAP851976:QAP851983 PQT851976:PQT851983 PGX851976:PGX851983 OXB851976:OXB851983 ONF851976:ONF851983 ODJ851976:ODJ851983 NTN851976:NTN851983 NJR851976:NJR851983 MZV851976:MZV851983 MPZ851976:MPZ851983 MGD851976:MGD851983 LWH851976:LWH851983 LML851976:LML851983 LCP851976:LCP851983 KST851976:KST851983 KIX851976:KIX851983 JZB851976:JZB851983 JPF851976:JPF851983 JFJ851976:JFJ851983 IVN851976:IVN851983 ILR851976:ILR851983 IBV851976:IBV851983 HRZ851976:HRZ851983 HID851976:HID851983 GYH851976:GYH851983 GOL851976:GOL851983 GEP851976:GEP851983 FUT851976:FUT851983 FKX851976:FKX851983 FBB851976:FBB851983 ERF851976:ERF851983 EHJ851976:EHJ851983 DXN851976:DXN851983 DNR851976:DNR851983 DDV851976:DDV851983 CTZ851976:CTZ851983 CKD851976:CKD851983 CAH851976:CAH851983 BQL851976:BQL851983 BGP851976:BGP851983 AWT851976:AWT851983 AMX851976:AMX851983 ADB851976:ADB851983 TF851976:TF851983 JJ851976:JJ851983 K851976:K851983 WVV786440:WVV786447 WLZ786440:WLZ786447 WCD786440:WCD786447 VSH786440:VSH786447 VIL786440:VIL786447 UYP786440:UYP786447 UOT786440:UOT786447 UEX786440:UEX786447 TVB786440:TVB786447 TLF786440:TLF786447 TBJ786440:TBJ786447 SRN786440:SRN786447 SHR786440:SHR786447 RXV786440:RXV786447 RNZ786440:RNZ786447 RED786440:RED786447 QUH786440:QUH786447 QKL786440:QKL786447 QAP786440:QAP786447 PQT786440:PQT786447 PGX786440:PGX786447 OXB786440:OXB786447 ONF786440:ONF786447 ODJ786440:ODJ786447 NTN786440:NTN786447 NJR786440:NJR786447 MZV786440:MZV786447 MPZ786440:MPZ786447 MGD786440:MGD786447 LWH786440:LWH786447 LML786440:LML786447 LCP786440:LCP786447 KST786440:KST786447 KIX786440:KIX786447 JZB786440:JZB786447 JPF786440:JPF786447 JFJ786440:JFJ786447 IVN786440:IVN786447 ILR786440:ILR786447 IBV786440:IBV786447 HRZ786440:HRZ786447 HID786440:HID786447 GYH786440:GYH786447 GOL786440:GOL786447 GEP786440:GEP786447 FUT786440:FUT786447 FKX786440:FKX786447 FBB786440:FBB786447 ERF786440:ERF786447 EHJ786440:EHJ786447 DXN786440:DXN786447 DNR786440:DNR786447 DDV786440:DDV786447 CTZ786440:CTZ786447 CKD786440:CKD786447 CAH786440:CAH786447 BQL786440:BQL786447 BGP786440:BGP786447 AWT786440:AWT786447 AMX786440:AMX786447 ADB786440:ADB786447 TF786440:TF786447 JJ786440:JJ786447 K786440:K786447 WVV720904:WVV720911 WLZ720904:WLZ720911 WCD720904:WCD720911 VSH720904:VSH720911 VIL720904:VIL720911 UYP720904:UYP720911 UOT720904:UOT720911 UEX720904:UEX720911 TVB720904:TVB720911 TLF720904:TLF720911 TBJ720904:TBJ720911 SRN720904:SRN720911 SHR720904:SHR720911 RXV720904:RXV720911 RNZ720904:RNZ720911 RED720904:RED720911 QUH720904:QUH720911 QKL720904:QKL720911 QAP720904:QAP720911 PQT720904:PQT720911 PGX720904:PGX720911 OXB720904:OXB720911 ONF720904:ONF720911 ODJ720904:ODJ720911 NTN720904:NTN720911 NJR720904:NJR720911 MZV720904:MZV720911 MPZ720904:MPZ720911 MGD720904:MGD720911 LWH720904:LWH720911 LML720904:LML720911 LCP720904:LCP720911 KST720904:KST720911 KIX720904:KIX720911 JZB720904:JZB720911 JPF720904:JPF720911 JFJ720904:JFJ720911 IVN720904:IVN720911 ILR720904:ILR720911 IBV720904:IBV720911 HRZ720904:HRZ720911 HID720904:HID720911 GYH720904:GYH720911 GOL720904:GOL720911 GEP720904:GEP720911 FUT720904:FUT720911 FKX720904:FKX720911 FBB720904:FBB720911 ERF720904:ERF720911 EHJ720904:EHJ720911 DXN720904:DXN720911 DNR720904:DNR720911 DDV720904:DDV720911 CTZ720904:CTZ720911 CKD720904:CKD720911 CAH720904:CAH720911 BQL720904:BQL720911 BGP720904:BGP720911 AWT720904:AWT720911 AMX720904:AMX720911 ADB720904:ADB720911 TF720904:TF720911 JJ720904:JJ720911 K720904:K720911 WVV655368:WVV655375 WLZ655368:WLZ655375 WCD655368:WCD655375 VSH655368:VSH655375 VIL655368:VIL655375 UYP655368:UYP655375 UOT655368:UOT655375 UEX655368:UEX655375 TVB655368:TVB655375 TLF655368:TLF655375 TBJ655368:TBJ655375 SRN655368:SRN655375 SHR655368:SHR655375 RXV655368:RXV655375 RNZ655368:RNZ655375 RED655368:RED655375 QUH655368:QUH655375 QKL655368:QKL655375 QAP655368:QAP655375 PQT655368:PQT655375 PGX655368:PGX655375 OXB655368:OXB655375 ONF655368:ONF655375 ODJ655368:ODJ655375 NTN655368:NTN655375 NJR655368:NJR655375 MZV655368:MZV655375 MPZ655368:MPZ655375 MGD655368:MGD655375 LWH655368:LWH655375 LML655368:LML655375 LCP655368:LCP655375 KST655368:KST655375 KIX655368:KIX655375 JZB655368:JZB655375 JPF655368:JPF655375 JFJ655368:JFJ655375 IVN655368:IVN655375 ILR655368:ILR655375 IBV655368:IBV655375 HRZ655368:HRZ655375 HID655368:HID655375 GYH655368:GYH655375 GOL655368:GOL655375 GEP655368:GEP655375 FUT655368:FUT655375 FKX655368:FKX655375 FBB655368:FBB655375 ERF655368:ERF655375 EHJ655368:EHJ655375 DXN655368:DXN655375 DNR655368:DNR655375 DDV655368:DDV655375 CTZ655368:CTZ655375 CKD655368:CKD655375 CAH655368:CAH655375 BQL655368:BQL655375 BGP655368:BGP655375 AWT655368:AWT655375 AMX655368:AMX655375 ADB655368:ADB655375 TF655368:TF655375 JJ655368:JJ655375 K655368:K655375 WVV589832:WVV589839 WLZ589832:WLZ589839 WCD589832:WCD589839 VSH589832:VSH589839 VIL589832:VIL589839 UYP589832:UYP589839 UOT589832:UOT589839 UEX589832:UEX589839 TVB589832:TVB589839 TLF589832:TLF589839 TBJ589832:TBJ589839 SRN589832:SRN589839 SHR589832:SHR589839 RXV589832:RXV589839 RNZ589832:RNZ589839 RED589832:RED589839 QUH589832:QUH589839 QKL589832:QKL589839 QAP589832:QAP589839 PQT589832:PQT589839 PGX589832:PGX589839 OXB589832:OXB589839 ONF589832:ONF589839 ODJ589832:ODJ589839 NTN589832:NTN589839 NJR589832:NJR589839 MZV589832:MZV589839 MPZ589832:MPZ589839 MGD589832:MGD589839 LWH589832:LWH589839 LML589832:LML589839 LCP589832:LCP589839 KST589832:KST589839 KIX589832:KIX589839 JZB589832:JZB589839 JPF589832:JPF589839 JFJ589832:JFJ589839 IVN589832:IVN589839 ILR589832:ILR589839 IBV589832:IBV589839 HRZ589832:HRZ589839 HID589832:HID589839 GYH589832:GYH589839 GOL589832:GOL589839 GEP589832:GEP589839 FUT589832:FUT589839 FKX589832:FKX589839 FBB589832:FBB589839 ERF589832:ERF589839 EHJ589832:EHJ589839 DXN589832:DXN589839 DNR589832:DNR589839 DDV589832:DDV589839 CTZ589832:CTZ589839 CKD589832:CKD589839 CAH589832:CAH589839 BQL589832:BQL589839 BGP589832:BGP589839 AWT589832:AWT589839 AMX589832:AMX589839 ADB589832:ADB589839 TF589832:TF589839 JJ589832:JJ589839 K589832:K589839 WVV524296:WVV524303 WLZ524296:WLZ524303 WCD524296:WCD524303 VSH524296:VSH524303 VIL524296:VIL524303 UYP524296:UYP524303 UOT524296:UOT524303 UEX524296:UEX524303 TVB524296:TVB524303 TLF524296:TLF524303 TBJ524296:TBJ524303 SRN524296:SRN524303 SHR524296:SHR524303 RXV524296:RXV524303 RNZ524296:RNZ524303 RED524296:RED524303 QUH524296:QUH524303 QKL524296:QKL524303 QAP524296:QAP524303 PQT524296:PQT524303 PGX524296:PGX524303 OXB524296:OXB524303 ONF524296:ONF524303 ODJ524296:ODJ524303 NTN524296:NTN524303 NJR524296:NJR524303 MZV524296:MZV524303 MPZ524296:MPZ524303 MGD524296:MGD524303 LWH524296:LWH524303 LML524296:LML524303 LCP524296:LCP524303 KST524296:KST524303 KIX524296:KIX524303 JZB524296:JZB524303 JPF524296:JPF524303 JFJ524296:JFJ524303 IVN524296:IVN524303 ILR524296:ILR524303 IBV524296:IBV524303 HRZ524296:HRZ524303 HID524296:HID524303 GYH524296:GYH524303 GOL524296:GOL524303 GEP524296:GEP524303 FUT524296:FUT524303 FKX524296:FKX524303 FBB524296:FBB524303 ERF524296:ERF524303 EHJ524296:EHJ524303 DXN524296:DXN524303 DNR524296:DNR524303 DDV524296:DDV524303 CTZ524296:CTZ524303 CKD524296:CKD524303 CAH524296:CAH524303 BQL524296:BQL524303 BGP524296:BGP524303 AWT524296:AWT524303 AMX524296:AMX524303 ADB524296:ADB524303 TF524296:TF524303 JJ524296:JJ524303 K524296:K524303 WVV458760:WVV458767 WLZ458760:WLZ458767 WCD458760:WCD458767 VSH458760:VSH458767 VIL458760:VIL458767 UYP458760:UYP458767 UOT458760:UOT458767 UEX458760:UEX458767 TVB458760:TVB458767 TLF458760:TLF458767 TBJ458760:TBJ458767 SRN458760:SRN458767 SHR458760:SHR458767 RXV458760:RXV458767 RNZ458760:RNZ458767 RED458760:RED458767 QUH458760:QUH458767 QKL458760:QKL458767 QAP458760:QAP458767 PQT458760:PQT458767 PGX458760:PGX458767 OXB458760:OXB458767 ONF458760:ONF458767 ODJ458760:ODJ458767 NTN458760:NTN458767 NJR458760:NJR458767 MZV458760:MZV458767 MPZ458760:MPZ458767 MGD458760:MGD458767 LWH458760:LWH458767 LML458760:LML458767 LCP458760:LCP458767 KST458760:KST458767 KIX458760:KIX458767 JZB458760:JZB458767 JPF458760:JPF458767 JFJ458760:JFJ458767 IVN458760:IVN458767 ILR458760:ILR458767 IBV458760:IBV458767 HRZ458760:HRZ458767 HID458760:HID458767 GYH458760:GYH458767 GOL458760:GOL458767 GEP458760:GEP458767 FUT458760:FUT458767 FKX458760:FKX458767 FBB458760:FBB458767 ERF458760:ERF458767 EHJ458760:EHJ458767 DXN458760:DXN458767 DNR458760:DNR458767 DDV458760:DDV458767 CTZ458760:CTZ458767 CKD458760:CKD458767 CAH458760:CAH458767 BQL458760:BQL458767 BGP458760:BGP458767 AWT458760:AWT458767 AMX458760:AMX458767 ADB458760:ADB458767 TF458760:TF458767 JJ458760:JJ458767 K458760:K458767 WVV393224:WVV393231 WLZ393224:WLZ393231 WCD393224:WCD393231 VSH393224:VSH393231 VIL393224:VIL393231 UYP393224:UYP393231 UOT393224:UOT393231 UEX393224:UEX393231 TVB393224:TVB393231 TLF393224:TLF393231 TBJ393224:TBJ393231 SRN393224:SRN393231 SHR393224:SHR393231 RXV393224:RXV393231 RNZ393224:RNZ393231 RED393224:RED393231 QUH393224:QUH393231 QKL393224:QKL393231 QAP393224:QAP393231 PQT393224:PQT393231 PGX393224:PGX393231 OXB393224:OXB393231 ONF393224:ONF393231 ODJ393224:ODJ393231 NTN393224:NTN393231 NJR393224:NJR393231 MZV393224:MZV393231 MPZ393224:MPZ393231 MGD393224:MGD393231 LWH393224:LWH393231 LML393224:LML393231 LCP393224:LCP393231 KST393224:KST393231 KIX393224:KIX393231 JZB393224:JZB393231 JPF393224:JPF393231 JFJ393224:JFJ393231 IVN393224:IVN393231 ILR393224:ILR393231 IBV393224:IBV393231 HRZ393224:HRZ393231 HID393224:HID393231 GYH393224:GYH393231 GOL393224:GOL393231 GEP393224:GEP393231 FUT393224:FUT393231 FKX393224:FKX393231 FBB393224:FBB393231 ERF393224:ERF393231 EHJ393224:EHJ393231 DXN393224:DXN393231 DNR393224:DNR393231 DDV393224:DDV393231 CTZ393224:CTZ393231 CKD393224:CKD393231 CAH393224:CAH393231 BQL393224:BQL393231 BGP393224:BGP393231 AWT393224:AWT393231 AMX393224:AMX393231 ADB393224:ADB393231 TF393224:TF393231 JJ393224:JJ393231 K393224:K393231 WVV327688:WVV327695 WLZ327688:WLZ327695 WCD327688:WCD327695 VSH327688:VSH327695 VIL327688:VIL327695 UYP327688:UYP327695 UOT327688:UOT327695 UEX327688:UEX327695 TVB327688:TVB327695 TLF327688:TLF327695 TBJ327688:TBJ327695 SRN327688:SRN327695 SHR327688:SHR327695 RXV327688:RXV327695 RNZ327688:RNZ327695 RED327688:RED327695 QUH327688:QUH327695 QKL327688:QKL327695 QAP327688:QAP327695 PQT327688:PQT327695 PGX327688:PGX327695 OXB327688:OXB327695 ONF327688:ONF327695 ODJ327688:ODJ327695 NTN327688:NTN327695 NJR327688:NJR327695 MZV327688:MZV327695 MPZ327688:MPZ327695 MGD327688:MGD327695 LWH327688:LWH327695 LML327688:LML327695 LCP327688:LCP327695 KST327688:KST327695 KIX327688:KIX327695 JZB327688:JZB327695 JPF327688:JPF327695 JFJ327688:JFJ327695 IVN327688:IVN327695 ILR327688:ILR327695 IBV327688:IBV327695 HRZ327688:HRZ327695 HID327688:HID327695 GYH327688:GYH327695 GOL327688:GOL327695 GEP327688:GEP327695 FUT327688:FUT327695 FKX327688:FKX327695 FBB327688:FBB327695 ERF327688:ERF327695 EHJ327688:EHJ327695 DXN327688:DXN327695 DNR327688:DNR327695 DDV327688:DDV327695 CTZ327688:CTZ327695 CKD327688:CKD327695 CAH327688:CAH327695 BQL327688:BQL327695 BGP327688:BGP327695 AWT327688:AWT327695 AMX327688:AMX327695 ADB327688:ADB327695 TF327688:TF327695 JJ327688:JJ327695 K327688:K327695 WVV262152:WVV262159 WLZ262152:WLZ262159 WCD262152:WCD262159 VSH262152:VSH262159 VIL262152:VIL262159 UYP262152:UYP262159 UOT262152:UOT262159 UEX262152:UEX262159 TVB262152:TVB262159 TLF262152:TLF262159 TBJ262152:TBJ262159 SRN262152:SRN262159 SHR262152:SHR262159 RXV262152:RXV262159 RNZ262152:RNZ262159 RED262152:RED262159 QUH262152:QUH262159 QKL262152:QKL262159 QAP262152:QAP262159 PQT262152:PQT262159 PGX262152:PGX262159 OXB262152:OXB262159 ONF262152:ONF262159 ODJ262152:ODJ262159 NTN262152:NTN262159 NJR262152:NJR262159 MZV262152:MZV262159 MPZ262152:MPZ262159 MGD262152:MGD262159 LWH262152:LWH262159 LML262152:LML262159 LCP262152:LCP262159 KST262152:KST262159 KIX262152:KIX262159 JZB262152:JZB262159 JPF262152:JPF262159 JFJ262152:JFJ262159 IVN262152:IVN262159 ILR262152:ILR262159 IBV262152:IBV262159 HRZ262152:HRZ262159 HID262152:HID262159 GYH262152:GYH262159 GOL262152:GOL262159 GEP262152:GEP262159 FUT262152:FUT262159 FKX262152:FKX262159 FBB262152:FBB262159 ERF262152:ERF262159 EHJ262152:EHJ262159 DXN262152:DXN262159 DNR262152:DNR262159 DDV262152:DDV262159 CTZ262152:CTZ262159 CKD262152:CKD262159 CAH262152:CAH262159 BQL262152:BQL262159 BGP262152:BGP262159 AWT262152:AWT262159 AMX262152:AMX262159 ADB262152:ADB262159 TF262152:TF262159 JJ262152:JJ262159 K262152:K262159 WVV196616:WVV196623 WLZ196616:WLZ196623 WCD196616:WCD196623 VSH196616:VSH196623 VIL196616:VIL196623 UYP196616:UYP196623 UOT196616:UOT196623 UEX196616:UEX196623 TVB196616:TVB196623 TLF196616:TLF196623 TBJ196616:TBJ196623 SRN196616:SRN196623 SHR196616:SHR196623 RXV196616:RXV196623 RNZ196616:RNZ196623 RED196616:RED196623 QUH196616:QUH196623 QKL196616:QKL196623 QAP196616:QAP196623 PQT196616:PQT196623 PGX196616:PGX196623 OXB196616:OXB196623 ONF196616:ONF196623 ODJ196616:ODJ196623 NTN196616:NTN196623 NJR196616:NJR196623 MZV196616:MZV196623 MPZ196616:MPZ196623 MGD196616:MGD196623 LWH196616:LWH196623 LML196616:LML196623 LCP196616:LCP196623 KST196616:KST196623 KIX196616:KIX196623 JZB196616:JZB196623 JPF196616:JPF196623 JFJ196616:JFJ196623 IVN196616:IVN196623 ILR196616:ILR196623 IBV196616:IBV196623 HRZ196616:HRZ196623 HID196616:HID196623 GYH196616:GYH196623 GOL196616:GOL196623 GEP196616:GEP196623 FUT196616:FUT196623 FKX196616:FKX196623 FBB196616:FBB196623 ERF196616:ERF196623 EHJ196616:EHJ196623 DXN196616:DXN196623 DNR196616:DNR196623 DDV196616:DDV196623 CTZ196616:CTZ196623 CKD196616:CKD196623 CAH196616:CAH196623 BQL196616:BQL196623 BGP196616:BGP196623 AWT196616:AWT196623 AMX196616:AMX196623 ADB196616:ADB196623 TF196616:TF196623 JJ196616:JJ196623 K196616:K196623 WVV131080:WVV131087 WLZ131080:WLZ131087 WCD131080:WCD131087 VSH131080:VSH131087 VIL131080:VIL131087 UYP131080:UYP131087 UOT131080:UOT131087 UEX131080:UEX131087 TVB131080:TVB131087 TLF131080:TLF131087 TBJ131080:TBJ131087 SRN131080:SRN131087 SHR131080:SHR131087 RXV131080:RXV131087 RNZ131080:RNZ131087 RED131080:RED131087 QUH131080:QUH131087 QKL131080:QKL131087 QAP131080:QAP131087 PQT131080:PQT131087 PGX131080:PGX131087 OXB131080:OXB131087 ONF131080:ONF131087 ODJ131080:ODJ131087 NTN131080:NTN131087 NJR131080:NJR131087 MZV131080:MZV131087 MPZ131080:MPZ131087 MGD131080:MGD131087 LWH131080:LWH131087 LML131080:LML131087 LCP131080:LCP131087 KST131080:KST131087 KIX131080:KIX131087 JZB131080:JZB131087 JPF131080:JPF131087 JFJ131080:JFJ131087 IVN131080:IVN131087 ILR131080:ILR131087 IBV131080:IBV131087 HRZ131080:HRZ131087 HID131080:HID131087 GYH131080:GYH131087 GOL131080:GOL131087 GEP131080:GEP131087 FUT131080:FUT131087 FKX131080:FKX131087 FBB131080:FBB131087 ERF131080:ERF131087 EHJ131080:EHJ131087 DXN131080:DXN131087 DNR131080:DNR131087 DDV131080:DDV131087 CTZ131080:CTZ131087 CKD131080:CKD131087 CAH131080:CAH131087 BQL131080:BQL131087 BGP131080:BGP131087 AWT131080:AWT131087 AMX131080:AMX131087 ADB131080:ADB131087 TF131080:TF131087 JJ131080:JJ131087 K131080:K131087 WVV65544:WVV65551 WLZ65544:WLZ65551 WCD65544:WCD65551 VSH65544:VSH65551 VIL65544:VIL65551 UYP65544:UYP65551 UOT65544:UOT65551 UEX65544:UEX65551 TVB65544:TVB65551 TLF65544:TLF65551 TBJ65544:TBJ65551 SRN65544:SRN65551 SHR65544:SHR65551 RXV65544:RXV65551 RNZ65544:RNZ65551 RED65544:RED65551 QUH65544:QUH65551 QKL65544:QKL65551 QAP65544:QAP65551 PQT65544:PQT65551 PGX65544:PGX65551 OXB65544:OXB65551 ONF65544:ONF65551 ODJ65544:ODJ65551 NTN65544:NTN65551 NJR65544:NJR65551 MZV65544:MZV65551 MPZ65544:MPZ65551 MGD65544:MGD65551 LWH65544:LWH65551 LML65544:LML65551 LCP65544:LCP65551 KST65544:KST65551 KIX65544:KIX65551 JZB65544:JZB65551 JPF65544:JPF65551 JFJ65544:JFJ65551 IVN65544:IVN65551 ILR65544:ILR65551 IBV65544:IBV65551 HRZ65544:HRZ65551 HID65544:HID65551 GYH65544:GYH65551 GOL65544:GOL65551 GEP65544:GEP65551 FUT65544:FUT65551 FKX65544:FKX65551 FBB65544:FBB65551 ERF65544:ERF65551 EHJ65544:EHJ65551 DXN65544:DXN65551 DNR65544:DNR65551 DDV65544:DDV65551 CTZ65544:CTZ65551 CKD65544:CKD65551 CAH65544:CAH65551 BQL65544:BQL65551 BGP65544:BGP65551 AWT65544:AWT65551 AMX65544:AMX65551 ADB65544:ADB65551 TF65544:TF65551 JJ65544:JJ65551 K65544:K65551 WVW8:WVW15 WMA8:WMA15 WCE8:WCE15 VSI8:VSI15 VIM8:VIM15 UYQ8:UYQ15 UOU8:UOU15 UEY8:UEY15 TVC8:TVC15 TLG8:TLG15 TBK8:TBK15 SRO8:SRO15 SHS8:SHS15 RXW8:RXW15 ROA8:ROA15 REE8:REE15 QUI8:QUI15 QKM8:QKM15 QAQ8:QAQ15 PQU8:PQU15 PGY8:PGY15 OXC8:OXC15 ONG8:ONG15 ODK8:ODK15 NTO8:NTO15 NJS8:NJS15 MZW8:MZW15 MQA8:MQA15 MGE8:MGE15 LWI8:LWI15 LMM8:LMM15 LCQ8:LCQ15 KSU8:KSU15 KIY8:KIY15 JZC8:JZC15 JPG8:JPG15 JFK8:JFK15 IVO8:IVO15 ILS8:ILS15 IBW8:IBW15 HSA8:HSA15 HIE8:HIE15 GYI8:GYI15 GOM8:GOM15 GEQ8:GEQ15 FUU8:FUU15 FKY8:FKY15 FBC8:FBC15 ERG8:ERG15 EHK8:EHK15 DXO8:DXO15 DNS8:DNS15 DDW8:DDW15 CUA8:CUA15 CKE8:CKE15 CAI8:CAI15 BQM8:BQM15 BGQ8:BGQ15 AWU8:AWU15 AMY8:AMY15 ADC8:ADC15 TG8:TG15 JK8:JK15" xr:uid="{59E42D38-CE51-4A37-933A-034AF3DE6BDC}">
      <formula1>$C$23:$C$26</formula1>
    </dataValidation>
    <dataValidation type="list" allowBlank="1" showInputMessage="1" showErrorMessage="1" sqref="I8:I15" xr:uid="{9F07D669-4C51-4C04-BF8A-EE9C1E68197F}">
      <formula1>Zip_Code</formula1>
    </dataValidation>
    <dataValidation type="list" allowBlank="1" showInputMessage="1" showErrorMessage="1" sqref="TA8:TA15 ACW8:ACW15 AMS8:AMS15 AWO8:AWO15 BGK8:BGK15 BQG8:BQG15 CAC8:CAC15 CJY8:CJY15 CTU8:CTU15 DDQ8:DDQ15 DNM8:DNM15 DXI8:DXI15 EHE8:EHE15 ERA8:ERA15 FAW8:FAW15 FKS8:FKS15 FUO8:FUO15 GEK8:GEK15 GOG8:GOG15 GYC8:GYC15 HHY8:HHY15 HRU8:HRU15 IBQ8:IBQ15 ILM8:ILM15 IVI8:IVI15 JFE8:JFE15 JPA8:JPA15 JYW8:JYW15 KIS8:KIS15 KSO8:KSO15 LCK8:LCK15 LMG8:LMG15 LWC8:LWC15 MFY8:MFY15 MPU8:MPU15 MZQ8:MZQ15 NJM8:NJM15 NTI8:NTI15 ODE8:ODE15 ONA8:ONA15 OWW8:OWW15 PGS8:PGS15 PQO8:PQO15 QAK8:QAK15 QKG8:QKG15 QUC8:QUC15 RDY8:RDY15 RNU8:RNU15 RXQ8:RXQ15 SHM8:SHM15 SRI8:SRI15 TBE8:TBE15 TLA8:TLA15 TUW8:TUW15 UES8:UES15 UOO8:UOO15 UYK8:UYK15 VIG8:VIG15 VSC8:VSC15 WBY8:WBY15 WLU8:WLU15 WVQ8:WVQ15 JE8:JE15" xr:uid="{F51DC17F-5175-4708-A2F5-9B10E8613BA9}">
      <formula1>JC$29:JC$30</formula1>
    </dataValidation>
  </dataValidations>
  <hyperlinks>
    <hyperlink ref="B3" location="'Calculator Index'!A1" display="Return to Index" xr:uid="{CE14FEC3-4752-4A96-9A60-CCC3C481B8B1}"/>
    <hyperlink ref="B3:C3" location="'Project Summary'!A1" display="Return to Index" xr:uid="{C4721302-D029-41EC-8200-344B8897149B}"/>
  </hyperlink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82EAD-C1EF-418D-992E-C92BA4DDA503}">
  <sheetPr codeName="Sheet16"/>
  <dimension ref="A1:BB71"/>
  <sheetViews>
    <sheetView showGridLines="0" workbookViewId="0">
      <selection activeCell="D77" sqref="D77"/>
    </sheetView>
  </sheetViews>
  <sheetFormatPr defaultRowHeight="15"/>
  <cols>
    <col min="1" max="1" width="2.140625" customWidth="1"/>
    <col min="3" max="3" width="27.42578125" customWidth="1"/>
    <col min="4" max="4" width="13.28515625" customWidth="1"/>
    <col min="5" max="5" width="16.85546875" customWidth="1"/>
    <col min="6" max="6" width="25.85546875" customWidth="1"/>
    <col min="7" max="7" width="11.5703125" customWidth="1"/>
    <col min="8" max="8" width="13.140625" customWidth="1"/>
    <col min="9" max="10" width="29" bestFit="1" customWidth="1"/>
    <col min="11" max="11" width="31.85546875" bestFit="1" customWidth="1"/>
    <col min="12" max="13" width="14.5703125" customWidth="1"/>
    <col min="14" max="15" width="12.5703125" customWidth="1"/>
    <col min="16" max="16" width="18.28515625" customWidth="1"/>
    <col min="17" max="23" width="19.7109375" customWidth="1"/>
    <col min="24" max="27" width="0" hidden="1" customWidth="1"/>
    <col min="28" max="28" width="10.85546875" hidden="1" customWidth="1"/>
    <col min="29" max="39" width="0" hidden="1" customWidth="1"/>
    <col min="40" max="40" width="11.28515625" hidden="1" customWidth="1"/>
    <col min="41" max="41" width="0" hidden="1" customWidth="1"/>
    <col min="42" max="42" width="15.7109375" hidden="1" customWidth="1"/>
    <col min="43" max="43" width="0" hidden="1" customWidth="1"/>
    <col min="44" max="44" width="10.28515625" customWidth="1"/>
    <col min="46" max="47" width="0" hidden="1" customWidth="1"/>
    <col min="48" max="48" width="9.7109375" bestFit="1" customWidth="1"/>
    <col min="49" max="49" width="0" hidden="1" customWidth="1"/>
    <col min="50" max="50" width="11.85546875" customWidth="1"/>
    <col min="51" max="51" width="18.28515625" hidden="1" customWidth="1"/>
    <col min="52" max="52" width="16.85546875" hidden="1" customWidth="1"/>
    <col min="53" max="53" width="31.85546875" hidden="1" customWidth="1"/>
  </cols>
  <sheetData>
    <row r="1" spans="1:54">
      <c r="A1" s="640"/>
      <c r="B1" s="640"/>
      <c r="C1" s="640"/>
      <c r="D1" s="640"/>
      <c r="E1" s="640"/>
      <c r="F1" s="640"/>
      <c r="G1" s="640"/>
      <c r="H1" s="640"/>
      <c r="I1" s="640"/>
      <c r="J1" s="640"/>
      <c r="K1" s="640"/>
      <c r="L1" s="640"/>
      <c r="M1" s="640"/>
      <c r="N1" s="640"/>
      <c r="O1" s="640"/>
      <c r="P1" s="640"/>
      <c r="Q1" s="640"/>
      <c r="R1" s="640"/>
      <c r="S1" s="640"/>
      <c r="T1" s="640"/>
      <c r="U1" s="640"/>
      <c r="V1" s="640"/>
      <c r="W1" s="640"/>
      <c r="X1" s="640"/>
      <c r="Y1" s="640"/>
      <c r="Z1" s="640"/>
      <c r="AA1" s="640"/>
      <c r="AB1" s="640"/>
      <c r="AC1" s="640"/>
      <c r="AD1" s="640"/>
      <c r="AE1" s="640"/>
      <c r="AF1" s="640"/>
      <c r="AG1" s="640"/>
      <c r="AH1" s="640"/>
      <c r="AI1" s="640"/>
      <c r="AJ1" s="640"/>
      <c r="AK1" s="640"/>
      <c r="AL1" s="640"/>
      <c r="AM1" s="640"/>
      <c r="AN1" s="640"/>
      <c r="AO1" s="640"/>
      <c r="AP1" s="640"/>
      <c r="AQ1" s="640"/>
      <c r="AR1" s="640"/>
      <c r="AS1" s="640"/>
      <c r="AT1" s="640"/>
      <c r="AU1" s="640"/>
      <c r="AV1" s="640"/>
      <c r="AW1" s="640"/>
      <c r="AX1" s="640"/>
      <c r="AY1" s="11"/>
      <c r="AZ1" s="11"/>
      <c r="BA1" s="11"/>
      <c r="BB1" s="640"/>
    </row>
    <row r="2" spans="1:54" ht="31.5" customHeight="1">
      <c r="A2" s="640"/>
      <c r="B2" s="1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1"/>
      <c r="BB2" s="640"/>
    </row>
    <row r="3" spans="1:54" ht="36.75" customHeight="1">
      <c r="A3" s="640"/>
      <c r="B3" s="266"/>
      <c r="C3" s="266"/>
      <c r="D3" s="266"/>
      <c r="E3" s="198"/>
      <c r="F3" s="198"/>
      <c r="G3" s="198"/>
      <c r="H3" s="198"/>
      <c r="I3" s="199"/>
      <c r="J3" s="199"/>
      <c r="K3" s="199"/>
      <c r="L3" s="199"/>
      <c r="M3" s="199"/>
      <c r="N3" s="199"/>
      <c r="O3" s="199"/>
      <c r="P3" s="199"/>
      <c r="Q3" s="199"/>
      <c r="R3" s="199"/>
      <c r="S3" s="199"/>
      <c r="T3" s="199"/>
      <c r="U3" s="199"/>
      <c r="V3" s="199"/>
      <c r="W3" s="199"/>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640"/>
    </row>
    <row r="4" spans="1:54" ht="71.25" customHeight="1">
      <c r="A4" s="640"/>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640"/>
    </row>
    <row r="5" spans="1:54">
      <c r="A5" s="640"/>
      <c r="B5" s="640"/>
      <c r="C5" s="640"/>
      <c r="D5" s="640"/>
      <c r="E5" s="640"/>
      <c r="F5" s="640"/>
      <c r="G5" s="640"/>
      <c r="H5" s="640"/>
      <c r="I5" s="640"/>
      <c r="J5" s="640"/>
      <c r="K5" s="640"/>
      <c r="L5" s="640"/>
      <c r="M5" s="640"/>
      <c r="N5" s="640"/>
      <c r="O5" s="640"/>
      <c r="P5" s="640"/>
      <c r="Q5" s="640"/>
      <c r="R5" s="640"/>
      <c r="S5" s="640"/>
      <c r="T5" s="640"/>
      <c r="U5" s="640"/>
      <c r="V5" s="640"/>
      <c r="W5" s="640"/>
      <c r="X5" s="640"/>
      <c r="Y5" s="640"/>
      <c r="Z5" s="640"/>
      <c r="AA5" s="640"/>
      <c r="AB5" s="640"/>
      <c r="AC5" s="640"/>
      <c r="AD5" s="640"/>
      <c r="AE5" s="640"/>
      <c r="AF5" s="640"/>
      <c r="AG5" s="640"/>
      <c r="AH5" s="640"/>
      <c r="AI5" s="640"/>
      <c r="AJ5" s="640"/>
      <c r="AK5" s="640"/>
      <c r="AL5" s="640"/>
      <c r="AM5" s="640"/>
      <c r="AN5" s="640"/>
      <c r="AO5" s="640"/>
      <c r="AP5" s="640"/>
      <c r="AQ5" s="640"/>
      <c r="AR5" s="640"/>
      <c r="AS5" s="640"/>
      <c r="AT5" s="640"/>
      <c r="AU5" s="640"/>
      <c r="AV5" s="640"/>
      <c r="AW5" s="640"/>
      <c r="AX5" s="640"/>
      <c r="AY5" s="11"/>
      <c r="AZ5" s="11"/>
      <c r="BA5" s="11"/>
      <c r="BB5" s="640"/>
    </row>
    <row r="6" spans="1:54">
      <c r="A6" s="640"/>
      <c r="B6" s="150"/>
      <c r="C6" s="150"/>
      <c r="D6" s="150"/>
      <c r="E6" s="779" t="s">
        <v>542</v>
      </c>
      <c r="F6" s="780"/>
      <c r="G6" s="780"/>
      <c r="H6" s="781"/>
      <c r="I6" s="491"/>
      <c r="J6" s="546" t="s">
        <v>695</v>
      </c>
      <c r="K6" s="547"/>
      <c r="L6" s="547"/>
      <c r="M6" s="547"/>
      <c r="N6" s="547"/>
      <c r="O6" s="491"/>
      <c r="P6" s="547"/>
      <c r="Q6" s="491"/>
      <c r="R6" s="491"/>
      <c r="S6" s="491"/>
      <c r="T6" s="491"/>
      <c r="U6" s="491"/>
      <c r="V6" s="491"/>
      <c r="W6" s="491"/>
      <c r="X6" s="147"/>
      <c r="Y6" s="147"/>
      <c r="Z6" s="147"/>
      <c r="AA6" s="147"/>
      <c r="AB6" s="147"/>
      <c r="AC6" s="147"/>
      <c r="AD6" s="147"/>
      <c r="AE6" s="147"/>
      <c r="AF6" s="147"/>
      <c r="AG6" s="147"/>
      <c r="AH6" s="147"/>
      <c r="AI6" s="147"/>
      <c r="AJ6" s="147"/>
      <c r="AK6" s="147"/>
      <c r="AL6" s="147"/>
      <c r="AM6" s="147"/>
      <c r="AN6" s="147"/>
      <c r="AO6" s="147"/>
      <c r="AP6" s="147"/>
      <c r="AQ6" s="147"/>
      <c r="AR6" s="150"/>
      <c r="AS6" s="150"/>
      <c r="AT6" s="147"/>
      <c r="AU6" s="147"/>
      <c r="AV6" s="150"/>
      <c r="AW6" s="147"/>
      <c r="AX6" s="150"/>
      <c r="AY6" s="150"/>
      <c r="AZ6" s="147"/>
      <c r="BA6" s="147"/>
      <c r="BB6" s="640"/>
    </row>
    <row r="7" spans="1:54" ht="15" customHeight="1">
      <c r="A7" s="640"/>
      <c r="B7" s="696" t="s">
        <v>64</v>
      </c>
      <c r="C7" s="696" t="s">
        <v>65</v>
      </c>
      <c r="D7" s="457"/>
      <c r="E7" s="719" t="s">
        <v>115</v>
      </c>
      <c r="F7" s="696" t="s">
        <v>543</v>
      </c>
      <c r="G7" s="696" t="s">
        <v>117</v>
      </c>
      <c r="H7" s="712" t="s">
        <v>118</v>
      </c>
      <c r="I7" s="457"/>
      <c r="J7" s="719" t="s">
        <v>696</v>
      </c>
      <c r="K7" s="696" t="s">
        <v>697</v>
      </c>
      <c r="L7" s="696" t="s">
        <v>402</v>
      </c>
      <c r="M7" s="457"/>
      <c r="N7" s="696" t="s">
        <v>575</v>
      </c>
      <c r="O7" s="457"/>
      <c r="P7" s="696" t="s">
        <v>698</v>
      </c>
      <c r="Q7" s="696" t="s">
        <v>699</v>
      </c>
      <c r="R7" s="696" t="s">
        <v>700</v>
      </c>
      <c r="S7" s="696" t="s">
        <v>701</v>
      </c>
      <c r="T7" s="457"/>
      <c r="U7" s="457"/>
      <c r="V7" s="457"/>
      <c r="W7" s="457"/>
      <c r="X7" s="698" t="s">
        <v>81</v>
      </c>
      <c r="Y7" s="698" t="s">
        <v>577</v>
      </c>
      <c r="Z7" s="698" t="s">
        <v>578</v>
      </c>
      <c r="AA7" s="698" t="s">
        <v>579</v>
      </c>
      <c r="AB7" s="698" t="s">
        <v>702</v>
      </c>
      <c r="AC7" s="698" t="s">
        <v>703</v>
      </c>
      <c r="AD7" s="698" t="s">
        <v>704</v>
      </c>
      <c r="AE7" s="698" t="s">
        <v>705</v>
      </c>
      <c r="AF7" s="698" t="s">
        <v>246</v>
      </c>
      <c r="AG7" s="698" t="s">
        <v>206</v>
      </c>
      <c r="AH7" s="698" t="s">
        <v>471</v>
      </c>
      <c r="AI7" s="698" t="s">
        <v>706</v>
      </c>
      <c r="AJ7" s="698" t="s">
        <v>707</v>
      </c>
      <c r="AK7" s="698" t="s">
        <v>708</v>
      </c>
      <c r="AL7" s="698" t="s">
        <v>709</v>
      </c>
      <c r="AM7" s="698" t="s">
        <v>710</v>
      </c>
      <c r="AN7" s="698" t="s">
        <v>711</v>
      </c>
      <c r="AO7" s="698" t="s">
        <v>421</v>
      </c>
      <c r="AP7" s="698" t="s">
        <v>712</v>
      </c>
      <c r="AQ7" s="698" t="s">
        <v>713</v>
      </c>
      <c r="AR7" s="696" t="s">
        <v>592</v>
      </c>
      <c r="AS7" s="696" t="s">
        <v>593</v>
      </c>
      <c r="AT7" s="698" t="s">
        <v>594</v>
      </c>
      <c r="AU7" s="698" t="s">
        <v>595</v>
      </c>
      <c r="AV7" s="696" t="s">
        <v>88</v>
      </c>
      <c r="AW7" s="698" t="s">
        <v>204</v>
      </c>
      <c r="AX7" s="696" t="s">
        <v>89</v>
      </c>
      <c r="AY7" s="696" t="s">
        <v>509</v>
      </c>
      <c r="AZ7" s="698" t="s">
        <v>132</v>
      </c>
      <c r="BA7" s="698" t="s">
        <v>134</v>
      </c>
      <c r="BB7" s="640"/>
    </row>
    <row r="8" spans="1:54" ht="21" customHeight="1">
      <c r="A8" s="640"/>
      <c r="B8" s="696"/>
      <c r="C8" s="696"/>
      <c r="D8" s="457" t="s">
        <v>136</v>
      </c>
      <c r="E8" s="719"/>
      <c r="F8" s="696"/>
      <c r="G8" s="696"/>
      <c r="H8" s="712"/>
      <c r="I8" s="457" t="s">
        <v>714</v>
      </c>
      <c r="J8" s="719"/>
      <c r="K8" s="696"/>
      <c r="L8" s="696"/>
      <c r="M8" s="457" t="s">
        <v>715</v>
      </c>
      <c r="N8" s="696"/>
      <c r="O8" s="457" t="s">
        <v>716</v>
      </c>
      <c r="P8" s="696"/>
      <c r="Q8" s="696"/>
      <c r="R8" s="696"/>
      <c r="S8" s="696"/>
      <c r="T8" s="457" t="s">
        <v>717</v>
      </c>
      <c r="U8" s="457" t="s">
        <v>718</v>
      </c>
      <c r="V8" s="457" t="s">
        <v>719</v>
      </c>
      <c r="W8" s="457" t="s">
        <v>720</v>
      </c>
      <c r="X8" s="698"/>
      <c r="Y8" s="698"/>
      <c r="Z8" s="698"/>
      <c r="AA8" s="698"/>
      <c r="AB8" s="698"/>
      <c r="AC8" s="698"/>
      <c r="AD8" s="698"/>
      <c r="AE8" s="698"/>
      <c r="AF8" s="698"/>
      <c r="AG8" s="698"/>
      <c r="AH8" s="698"/>
      <c r="AI8" s="698"/>
      <c r="AJ8" s="698"/>
      <c r="AK8" s="698"/>
      <c r="AL8" s="698"/>
      <c r="AM8" s="698"/>
      <c r="AN8" s="698"/>
      <c r="AO8" s="698"/>
      <c r="AP8" s="698"/>
      <c r="AQ8" s="698"/>
      <c r="AR8" s="696"/>
      <c r="AS8" s="696"/>
      <c r="AT8" s="698"/>
      <c r="AU8" s="698"/>
      <c r="AV8" s="696"/>
      <c r="AW8" s="698"/>
      <c r="AX8" s="696"/>
      <c r="AY8" s="696"/>
      <c r="AZ8" s="698"/>
      <c r="BA8" s="698"/>
      <c r="BB8" s="640"/>
    </row>
    <row r="9" spans="1:54">
      <c r="A9" s="640"/>
      <c r="B9" s="724"/>
      <c r="C9" s="724"/>
      <c r="D9" s="477"/>
      <c r="E9" s="723"/>
      <c r="F9" s="724"/>
      <c r="G9" s="724"/>
      <c r="H9" s="742"/>
      <c r="I9" s="477"/>
      <c r="J9" s="723"/>
      <c r="K9" s="724"/>
      <c r="L9" s="724"/>
      <c r="M9" s="477"/>
      <c r="N9" s="724"/>
      <c r="O9" s="477"/>
      <c r="P9" s="724"/>
      <c r="Q9" s="724"/>
      <c r="R9" s="724"/>
      <c r="S9" s="724"/>
      <c r="T9" s="477"/>
      <c r="U9" s="477"/>
      <c r="V9" s="477"/>
      <c r="W9" s="477"/>
      <c r="X9" s="760"/>
      <c r="Y9" s="760"/>
      <c r="Z9" s="760"/>
      <c r="AA9" s="760"/>
      <c r="AB9" s="760"/>
      <c r="AC9" s="760"/>
      <c r="AD9" s="760"/>
      <c r="AE9" s="760"/>
      <c r="AF9" s="760"/>
      <c r="AG9" s="760"/>
      <c r="AH9" s="760"/>
      <c r="AI9" s="760"/>
      <c r="AJ9" s="760"/>
      <c r="AK9" s="760"/>
      <c r="AL9" s="760"/>
      <c r="AM9" s="760"/>
      <c r="AN9" s="760"/>
      <c r="AO9" s="760"/>
      <c r="AP9" s="760"/>
      <c r="AQ9" s="760"/>
      <c r="AR9" s="724"/>
      <c r="AS9" s="724"/>
      <c r="AT9" s="760"/>
      <c r="AU9" s="760"/>
      <c r="AV9" s="724"/>
      <c r="AW9" s="760"/>
      <c r="AX9" s="724"/>
      <c r="AY9" s="724"/>
      <c r="AZ9" s="760"/>
      <c r="BA9" s="760"/>
      <c r="BB9" s="640"/>
    </row>
    <row r="10" spans="1:54" ht="21" hidden="1">
      <c r="A10" s="640"/>
      <c r="B10" s="483" t="s">
        <v>211</v>
      </c>
      <c r="C10" s="483"/>
      <c r="D10" s="483" t="s">
        <v>42</v>
      </c>
      <c r="E10" s="483" t="s">
        <v>721</v>
      </c>
      <c r="F10" s="483" t="s">
        <v>213</v>
      </c>
      <c r="G10" s="483"/>
      <c r="H10" s="483"/>
      <c r="I10" s="483"/>
      <c r="J10" s="483" t="s">
        <v>137</v>
      </c>
      <c r="K10" s="483" t="s">
        <v>220</v>
      </c>
      <c r="L10" s="483" t="s">
        <v>223</v>
      </c>
      <c r="M10" s="483"/>
      <c r="N10" s="483" t="s">
        <v>224</v>
      </c>
      <c r="O10" s="483"/>
      <c r="P10" s="483" t="s">
        <v>722</v>
      </c>
      <c r="Q10" s="483" t="s">
        <v>723</v>
      </c>
      <c r="R10" s="483" t="s">
        <v>724</v>
      </c>
      <c r="S10" s="483" t="s">
        <v>246</v>
      </c>
      <c r="T10" s="483" t="s">
        <v>206</v>
      </c>
      <c r="U10" s="483" t="s">
        <v>471</v>
      </c>
      <c r="V10" s="483" t="s">
        <v>725</v>
      </c>
      <c r="W10" s="483" t="s">
        <v>726</v>
      </c>
      <c r="X10" s="483"/>
      <c r="Y10" s="483"/>
      <c r="Z10" s="483"/>
      <c r="AA10" s="483"/>
      <c r="AB10" s="483"/>
      <c r="AC10" s="483"/>
      <c r="AD10" s="483"/>
      <c r="AE10" s="483"/>
      <c r="AF10" s="483"/>
      <c r="AG10" s="483"/>
      <c r="AH10" s="483"/>
      <c r="AI10" s="483"/>
      <c r="AJ10" s="483"/>
      <c r="AK10" s="483"/>
      <c r="AL10" s="483"/>
      <c r="AM10" s="483"/>
      <c r="AN10" s="483"/>
      <c r="AO10" s="483"/>
      <c r="AP10" s="483"/>
      <c r="AQ10" s="483"/>
      <c r="AR10" s="483" t="s">
        <v>226</v>
      </c>
      <c r="AS10" s="483" t="s">
        <v>227</v>
      </c>
      <c r="AT10" s="483"/>
      <c r="AU10" s="483"/>
      <c r="AV10" s="483" t="s">
        <v>228</v>
      </c>
      <c r="AW10" s="483" t="s">
        <v>230</v>
      </c>
      <c r="AX10" s="483" t="s">
        <v>229</v>
      </c>
      <c r="AY10" s="483" t="s">
        <v>231</v>
      </c>
      <c r="AZ10" s="483"/>
      <c r="BA10" s="483" t="s">
        <v>232</v>
      </c>
      <c r="BB10" s="640"/>
    </row>
    <row r="11" spans="1:54" ht="15" customHeight="1">
      <c r="A11" s="641"/>
      <c r="B11" s="216">
        <v>1</v>
      </c>
      <c r="C11" s="217" t="s">
        <v>727</v>
      </c>
      <c r="D11" s="32"/>
      <c r="E11" s="168"/>
      <c r="F11" s="168"/>
      <c r="G11" s="31"/>
      <c r="H11" s="149" t="str">
        <f>IFERROR(VLOOKUP(G11, 'Lookup Tables'!$B$5:$C$2226, 2, FALSE), "")</f>
        <v/>
      </c>
      <c r="I11" s="380"/>
      <c r="J11" s="218"/>
      <c r="K11" s="218"/>
      <c r="L11" s="218"/>
      <c r="M11" s="218"/>
      <c r="N11" s="380"/>
      <c r="O11" s="380"/>
      <c r="P11" s="380"/>
      <c r="Q11" s="380"/>
      <c r="R11" s="380"/>
      <c r="S11" s="380"/>
      <c r="T11" s="380"/>
      <c r="U11" s="380"/>
      <c r="V11" s="380"/>
      <c r="W11" s="380"/>
      <c r="X11" s="240" t="str">
        <f t="shared" ref="X11:X16" si="0">IFERROR(INDEX($I$21:$R$34,MATCH(H11,$I$20:$R$20,0),MATCH(F11,$H$21:$H$34,0)),"")</f>
        <v/>
      </c>
      <c r="Y11" s="302" t="str">
        <f>IFERROR(VLOOKUP(F11, 'Lookup Tables'!$G$5:$P$19, MATCH(H11, 'Lookup Tables'!$H$5:$P$5,1)+1, FALSE),"")</f>
        <v/>
      </c>
      <c r="Z11" s="302" t="str">
        <f>IFERROR(VLOOKUP(F11, 'Lookup Tables'!$R$5:$AA$27, MATCH(H11, 'Lookup Tables'!$S$5:$AA$5,1)+1, FALSE),"")</f>
        <v/>
      </c>
      <c r="AA11" s="303">
        <f t="shared" ref="AA11:AA16" si="1">N11/1000</f>
        <v>0</v>
      </c>
      <c r="AB11" s="303">
        <f t="shared" ref="AB11:AC16" si="2">P11/1000</f>
        <v>0</v>
      </c>
      <c r="AC11" s="303">
        <f t="shared" si="2"/>
        <v>0</v>
      </c>
      <c r="AD11" s="548" t="str">
        <f t="shared" ref="AD11:AD16" si="3">IF(I11="","",INDEX($D$22:$D$24,MATCH(I11,$C$22:$C$24,0)))</f>
        <v/>
      </c>
      <c r="AE11" s="548" t="str">
        <f t="shared" ref="AE11:AE16" si="4">IF(I11="","",INDEX($E$22:$E$24,MATCH(I11,$C$22:$C$24,0)))</f>
        <v/>
      </c>
      <c r="AF11" s="240" t="str">
        <f t="shared" ref="AF11:AF16" si="5">IFERROR(IF(S11="",INDEX($I$42:$I$44,MATCH(M11,$H$42:$H$44,0)),S11),"")</f>
        <v/>
      </c>
      <c r="AG11" s="240" t="str">
        <f t="shared" ref="AG11:AG16" si="6">IFERROR(IF(T11="",INDEX($J$42:$J$44,MATCH(M11,$H$42:$H$44,0)),T11),"")</f>
        <v/>
      </c>
      <c r="AH11" s="240" t="str">
        <f t="shared" ref="AH11:AH16" si="7">IFERROR(IF(U11="",INDEX($K$42:$K$44,MATCH(O11,$H$42:$H$44,0)),U11),"")</f>
        <v/>
      </c>
      <c r="AI11" s="240">
        <v>0.8</v>
      </c>
      <c r="AJ11" s="240" t="str">
        <f t="shared" ref="AJ11:AJ16" si="8">IFERROR(AA11*((Y11/(AF11*AI11))*AD11),"")</f>
        <v/>
      </c>
      <c r="AK11" s="240">
        <v>0.85</v>
      </c>
      <c r="AL11" s="240">
        <f t="shared" ref="AL11:AL16" si="9">IFERROR(AB11*(Z11/(AH11*AI11))*AE11,0)</f>
        <v>0</v>
      </c>
      <c r="AM11" s="240">
        <f t="shared" ref="AM11:AM16" si="10">IFERROR(AC11*(Z11/(3.412*AI11))*AE11*AK11,0)</f>
        <v>0</v>
      </c>
      <c r="AN11" s="240" t="str">
        <f t="shared" ref="AN11:AN16" si="11">IFERROR(IF(V11="",INDEX($I$37:$I$39,MATCH(O11,$H$37:$H$39,0)),V11),"")</f>
        <v/>
      </c>
      <c r="AO11" s="240" t="str">
        <f t="shared" ref="AO11:AO16" si="12">IFERROR(IF(W11="",INDEX($J$37:$J$39,MATCH(O11,$H$37:$H$39,0)),W11),"")</f>
        <v/>
      </c>
      <c r="AP11" s="240">
        <f t="shared" ref="AP11:AP16" si="13">IFERROR(((AN11*0.746)/AO11)*Z11*AE11,0)</f>
        <v>0</v>
      </c>
      <c r="AQ11" s="240">
        <v>0.25</v>
      </c>
      <c r="AR11" s="507" t="str">
        <f t="shared" ref="AR11:AR16" si="14">IFERROR(ROUND((AA11/(AG11*AI11))*AD11*AQ11,6),"")</f>
        <v/>
      </c>
      <c r="AS11" s="508" t="str">
        <f t="shared" ref="AS11:AS16" si="15">IFERROR(ROUND((AA11/(AG11*AI11))*AD11*AQ11*X11,6),"")</f>
        <v/>
      </c>
      <c r="AT11" s="242" t="str">
        <f t="shared" ref="AT11:AT16" si="16">AJ11</f>
        <v/>
      </c>
      <c r="AU11" s="243">
        <f t="shared" ref="AU11:AU16" si="17">AL11+AM11+AP11</f>
        <v>0</v>
      </c>
      <c r="AV11" s="509" t="str">
        <f t="shared" ref="AV11:AV16" si="18">IFERROR(ROUND(AT11+AU11,4),"")</f>
        <v/>
      </c>
      <c r="AW11" s="243" t="str">
        <f t="shared" ref="AW11:AW16" si="19">IF(L11="","",L11)</f>
        <v/>
      </c>
      <c r="AX11" s="244" t="str">
        <f t="shared" ref="AX11:AX16" si="20">IF(OR(AW11&lt;75,AW11=""),AW11,75)</f>
        <v/>
      </c>
      <c r="AY11" s="245" t="str">
        <f t="shared" ref="AY11:AY16" si="21">IFERROR(IF(AND(N11&lt;65000,P11&lt;225000,Q11&lt;225000),"Yes","No"),"")</f>
        <v>Yes</v>
      </c>
      <c r="AZ11" s="246" t="str">
        <f t="shared" ref="AZ11:AZ16" si="22">C11</f>
        <v>Smart Thermostat</v>
      </c>
      <c r="BA11" s="245" t="s">
        <v>728</v>
      </c>
      <c r="BB11" s="640"/>
    </row>
    <row r="12" spans="1:54" ht="15" customHeight="1">
      <c r="A12" s="641"/>
      <c r="B12" s="18">
        <v>2</v>
      </c>
      <c r="C12" s="217" t="s">
        <v>727</v>
      </c>
      <c r="D12" s="32"/>
      <c r="E12" s="168"/>
      <c r="F12" s="168"/>
      <c r="G12" s="31"/>
      <c r="H12" s="149" t="str">
        <f>IFERROR(VLOOKUP(G12, 'Lookup Tables'!$B$5:$C$2226, 2, FALSE), "")</f>
        <v/>
      </c>
      <c r="I12" s="380"/>
      <c r="J12" s="32"/>
      <c r="K12" s="32"/>
      <c r="L12" s="218"/>
      <c r="M12" s="218"/>
      <c r="N12" s="380"/>
      <c r="O12" s="380"/>
      <c r="P12" s="380"/>
      <c r="Q12" s="380"/>
      <c r="R12" s="380"/>
      <c r="S12" s="380"/>
      <c r="T12" s="380"/>
      <c r="U12" s="380"/>
      <c r="V12" s="380"/>
      <c r="W12" s="380"/>
      <c r="X12" s="240" t="str">
        <f t="shared" si="0"/>
        <v/>
      </c>
      <c r="Y12" s="302" t="str">
        <f>IFERROR(VLOOKUP(F12, 'Lookup Tables'!$G$5:$P$19, MATCH(H12, 'Lookup Tables'!$H$5:$P$5,1)+1, FALSE),"")</f>
        <v/>
      </c>
      <c r="Z12" s="302" t="str">
        <f>IFERROR(VLOOKUP(F12, 'Lookup Tables'!$R$5:$AA$27, MATCH(H12, 'Lookup Tables'!$S$5:$AA$5,1)+1, FALSE),"")</f>
        <v/>
      </c>
      <c r="AA12" s="303">
        <f t="shared" si="1"/>
        <v>0</v>
      </c>
      <c r="AB12" s="303">
        <f t="shared" si="2"/>
        <v>0</v>
      </c>
      <c r="AC12" s="303">
        <f t="shared" si="2"/>
        <v>0</v>
      </c>
      <c r="AD12" s="548" t="str">
        <f t="shared" si="3"/>
        <v/>
      </c>
      <c r="AE12" s="548" t="str">
        <f t="shared" si="4"/>
        <v/>
      </c>
      <c r="AF12" s="240" t="str">
        <f t="shared" si="5"/>
        <v/>
      </c>
      <c r="AG12" s="240" t="str">
        <f t="shared" si="6"/>
        <v/>
      </c>
      <c r="AH12" s="240" t="str">
        <f t="shared" si="7"/>
        <v/>
      </c>
      <c r="AI12" s="240">
        <v>0.8</v>
      </c>
      <c r="AJ12" s="240" t="str">
        <f t="shared" si="8"/>
        <v/>
      </c>
      <c r="AK12" s="240">
        <v>0.85</v>
      </c>
      <c r="AL12" s="240">
        <f t="shared" si="9"/>
        <v>0</v>
      </c>
      <c r="AM12" s="240">
        <f t="shared" si="10"/>
        <v>0</v>
      </c>
      <c r="AN12" s="240" t="str">
        <f t="shared" si="11"/>
        <v/>
      </c>
      <c r="AO12" s="240" t="str">
        <f t="shared" si="12"/>
        <v/>
      </c>
      <c r="AP12" s="240">
        <f t="shared" si="13"/>
        <v>0</v>
      </c>
      <c r="AQ12" s="240">
        <v>0.25</v>
      </c>
      <c r="AR12" s="507" t="str">
        <f t="shared" si="14"/>
        <v/>
      </c>
      <c r="AS12" s="508" t="str">
        <f t="shared" si="15"/>
        <v/>
      </c>
      <c r="AT12" s="242" t="str">
        <f t="shared" si="16"/>
        <v/>
      </c>
      <c r="AU12" s="243">
        <f t="shared" si="17"/>
        <v>0</v>
      </c>
      <c r="AV12" s="509" t="str">
        <f t="shared" si="18"/>
        <v/>
      </c>
      <c r="AW12" s="243" t="str">
        <f t="shared" si="19"/>
        <v/>
      </c>
      <c r="AX12" s="244" t="str">
        <f t="shared" si="20"/>
        <v/>
      </c>
      <c r="AY12" s="245" t="str">
        <f t="shared" si="21"/>
        <v>Yes</v>
      </c>
      <c r="AZ12" s="246" t="str">
        <f t="shared" si="22"/>
        <v>Smart Thermostat</v>
      </c>
      <c r="BA12" s="245" t="s">
        <v>728</v>
      </c>
      <c r="BB12" s="640"/>
    </row>
    <row r="13" spans="1:54" ht="15" customHeight="1">
      <c r="A13" s="641"/>
      <c r="B13" s="18">
        <v>3</v>
      </c>
      <c r="C13" s="217" t="s">
        <v>727</v>
      </c>
      <c r="D13" s="32"/>
      <c r="E13" s="168"/>
      <c r="F13" s="168"/>
      <c r="G13" s="31"/>
      <c r="H13" s="149" t="str">
        <f>IFERROR(VLOOKUP(G13, 'Lookup Tables'!$B$5:$C$2226, 2, FALSE), "")</f>
        <v/>
      </c>
      <c r="I13" s="380"/>
      <c r="J13" s="32"/>
      <c r="K13" s="32"/>
      <c r="L13" s="218"/>
      <c r="M13" s="218"/>
      <c r="N13" s="380"/>
      <c r="O13" s="380"/>
      <c r="P13" s="380"/>
      <c r="Q13" s="380"/>
      <c r="R13" s="380"/>
      <c r="S13" s="380"/>
      <c r="T13" s="380"/>
      <c r="U13" s="380"/>
      <c r="V13" s="380"/>
      <c r="W13" s="380"/>
      <c r="X13" s="240" t="str">
        <f t="shared" si="0"/>
        <v/>
      </c>
      <c r="Y13" s="302" t="str">
        <f>IFERROR(VLOOKUP(F13, 'Lookup Tables'!$G$5:$P$19, MATCH(H13, 'Lookup Tables'!$H$5:$P$5,1)+1, FALSE),"")</f>
        <v/>
      </c>
      <c r="Z13" s="302" t="str">
        <f>IFERROR(VLOOKUP(F13, 'Lookup Tables'!$R$5:$AA$27, MATCH(H13, 'Lookup Tables'!$S$5:$AA$5,1)+1, FALSE),"")</f>
        <v/>
      </c>
      <c r="AA13" s="303">
        <f t="shared" si="1"/>
        <v>0</v>
      </c>
      <c r="AB13" s="303">
        <f t="shared" si="2"/>
        <v>0</v>
      </c>
      <c r="AC13" s="303">
        <f t="shared" si="2"/>
        <v>0</v>
      </c>
      <c r="AD13" s="548" t="str">
        <f t="shared" si="3"/>
        <v/>
      </c>
      <c r="AE13" s="548" t="str">
        <f t="shared" si="4"/>
        <v/>
      </c>
      <c r="AF13" s="240" t="str">
        <f t="shared" si="5"/>
        <v/>
      </c>
      <c r="AG13" s="240" t="str">
        <f t="shared" si="6"/>
        <v/>
      </c>
      <c r="AH13" s="240" t="str">
        <f t="shared" si="7"/>
        <v/>
      </c>
      <c r="AI13" s="240">
        <v>0.8</v>
      </c>
      <c r="AJ13" s="240" t="str">
        <f t="shared" si="8"/>
        <v/>
      </c>
      <c r="AK13" s="240">
        <v>0.85</v>
      </c>
      <c r="AL13" s="240">
        <f t="shared" si="9"/>
        <v>0</v>
      </c>
      <c r="AM13" s="240">
        <f t="shared" si="10"/>
        <v>0</v>
      </c>
      <c r="AN13" s="240" t="str">
        <f t="shared" si="11"/>
        <v/>
      </c>
      <c r="AO13" s="240" t="str">
        <f t="shared" si="12"/>
        <v/>
      </c>
      <c r="AP13" s="240">
        <f t="shared" si="13"/>
        <v>0</v>
      </c>
      <c r="AQ13" s="240">
        <v>0.25</v>
      </c>
      <c r="AR13" s="507" t="str">
        <f t="shared" si="14"/>
        <v/>
      </c>
      <c r="AS13" s="508" t="str">
        <f t="shared" si="15"/>
        <v/>
      </c>
      <c r="AT13" s="242" t="str">
        <f t="shared" si="16"/>
        <v/>
      </c>
      <c r="AU13" s="243">
        <f t="shared" si="17"/>
        <v>0</v>
      </c>
      <c r="AV13" s="509" t="str">
        <f t="shared" si="18"/>
        <v/>
      </c>
      <c r="AW13" s="243" t="str">
        <f t="shared" si="19"/>
        <v/>
      </c>
      <c r="AX13" s="244" t="str">
        <f t="shared" si="20"/>
        <v/>
      </c>
      <c r="AY13" s="245" t="str">
        <f t="shared" si="21"/>
        <v>Yes</v>
      </c>
      <c r="AZ13" s="246" t="str">
        <f t="shared" si="22"/>
        <v>Smart Thermostat</v>
      </c>
      <c r="BA13" s="245" t="s">
        <v>728</v>
      </c>
      <c r="BB13" s="640"/>
    </row>
    <row r="14" spans="1:54" ht="15" customHeight="1">
      <c r="A14" s="641"/>
      <c r="B14" s="18">
        <v>4</v>
      </c>
      <c r="C14" s="217" t="s">
        <v>727</v>
      </c>
      <c r="D14" s="32"/>
      <c r="E14" s="168"/>
      <c r="F14" s="168"/>
      <c r="G14" s="31"/>
      <c r="H14" s="149" t="str">
        <f>IFERROR(VLOOKUP(G14, 'Lookup Tables'!$B$5:$C$2226, 2, FALSE), "")</f>
        <v/>
      </c>
      <c r="I14" s="380"/>
      <c r="J14" s="32"/>
      <c r="K14" s="32"/>
      <c r="L14" s="218"/>
      <c r="M14" s="218"/>
      <c r="N14" s="380"/>
      <c r="O14" s="380"/>
      <c r="P14" s="380"/>
      <c r="Q14" s="380"/>
      <c r="R14" s="380"/>
      <c r="S14" s="380"/>
      <c r="T14" s="380"/>
      <c r="U14" s="380"/>
      <c r="V14" s="380"/>
      <c r="W14" s="380"/>
      <c r="X14" s="240" t="str">
        <f t="shared" si="0"/>
        <v/>
      </c>
      <c r="Y14" s="302" t="str">
        <f>IFERROR(VLOOKUP(F14, 'Lookup Tables'!$G$5:$P$19, MATCH(H14, 'Lookup Tables'!$H$5:$P$5,1)+1, FALSE),"")</f>
        <v/>
      </c>
      <c r="Z14" s="302" t="str">
        <f>IFERROR(VLOOKUP(F14, 'Lookup Tables'!$R$5:$AA$27, MATCH(H14, 'Lookup Tables'!$S$5:$AA$5,1)+1, FALSE),"")</f>
        <v/>
      </c>
      <c r="AA14" s="303">
        <f t="shared" si="1"/>
        <v>0</v>
      </c>
      <c r="AB14" s="303">
        <f t="shared" si="2"/>
        <v>0</v>
      </c>
      <c r="AC14" s="303">
        <f t="shared" si="2"/>
        <v>0</v>
      </c>
      <c r="AD14" s="548" t="str">
        <f t="shared" si="3"/>
        <v/>
      </c>
      <c r="AE14" s="548" t="str">
        <f t="shared" si="4"/>
        <v/>
      </c>
      <c r="AF14" s="240" t="str">
        <f t="shared" si="5"/>
        <v/>
      </c>
      <c r="AG14" s="240" t="str">
        <f t="shared" si="6"/>
        <v/>
      </c>
      <c r="AH14" s="240" t="str">
        <f t="shared" si="7"/>
        <v/>
      </c>
      <c r="AI14" s="240">
        <v>0.8</v>
      </c>
      <c r="AJ14" s="240" t="str">
        <f t="shared" si="8"/>
        <v/>
      </c>
      <c r="AK14" s="240">
        <v>0.85</v>
      </c>
      <c r="AL14" s="240">
        <f t="shared" si="9"/>
        <v>0</v>
      </c>
      <c r="AM14" s="240">
        <f t="shared" si="10"/>
        <v>0</v>
      </c>
      <c r="AN14" s="240" t="str">
        <f t="shared" si="11"/>
        <v/>
      </c>
      <c r="AO14" s="240" t="str">
        <f t="shared" si="12"/>
        <v/>
      </c>
      <c r="AP14" s="240">
        <f t="shared" si="13"/>
        <v>0</v>
      </c>
      <c r="AQ14" s="240">
        <v>0.25</v>
      </c>
      <c r="AR14" s="507" t="str">
        <f t="shared" si="14"/>
        <v/>
      </c>
      <c r="AS14" s="508" t="str">
        <f t="shared" si="15"/>
        <v/>
      </c>
      <c r="AT14" s="242" t="str">
        <f t="shared" si="16"/>
        <v/>
      </c>
      <c r="AU14" s="243">
        <f t="shared" si="17"/>
        <v>0</v>
      </c>
      <c r="AV14" s="509" t="str">
        <f t="shared" si="18"/>
        <v/>
      </c>
      <c r="AW14" s="243" t="str">
        <f t="shared" si="19"/>
        <v/>
      </c>
      <c r="AX14" s="244" t="str">
        <f t="shared" si="20"/>
        <v/>
      </c>
      <c r="AY14" s="245" t="str">
        <f t="shared" si="21"/>
        <v>Yes</v>
      </c>
      <c r="AZ14" s="246" t="str">
        <f t="shared" si="22"/>
        <v>Smart Thermostat</v>
      </c>
      <c r="BA14" s="245" t="s">
        <v>728</v>
      </c>
      <c r="BB14" s="640"/>
    </row>
    <row r="15" spans="1:54" ht="15" customHeight="1">
      <c r="A15" s="641"/>
      <c r="B15" s="18">
        <v>5</v>
      </c>
      <c r="C15" s="217" t="s">
        <v>727</v>
      </c>
      <c r="D15" s="32"/>
      <c r="E15" s="168"/>
      <c r="F15" s="168"/>
      <c r="G15" s="31"/>
      <c r="H15" s="149" t="str">
        <f>IFERROR(VLOOKUP(G15, 'Lookup Tables'!$B$5:$C$2226, 2, FALSE), "")</f>
        <v/>
      </c>
      <c r="I15" s="380"/>
      <c r="J15" s="32"/>
      <c r="K15" s="32"/>
      <c r="L15" s="218"/>
      <c r="M15" s="218"/>
      <c r="N15" s="380"/>
      <c r="O15" s="380"/>
      <c r="P15" s="380"/>
      <c r="Q15" s="380"/>
      <c r="R15" s="380"/>
      <c r="S15" s="380"/>
      <c r="T15" s="380"/>
      <c r="U15" s="380"/>
      <c r="V15" s="380"/>
      <c r="W15" s="380"/>
      <c r="X15" s="240" t="str">
        <f t="shared" si="0"/>
        <v/>
      </c>
      <c r="Y15" s="302" t="str">
        <f>IFERROR(VLOOKUP(F15, 'Lookup Tables'!$G$5:$P$19, MATCH(H15, 'Lookup Tables'!$H$5:$P$5,1)+1, FALSE),"")</f>
        <v/>
      </c>
      <c r="Z15" s="302" t="str">
        <f>IFERROR(VLOOKUP(F15, 'Lookup Tables'!$R$5:$AA$27, MATCH(H15, 'Lookup Tables'!$S$5:$AA$5,1)+1, FALSE),"")</f>
        <v/>
      </c>
      <c r="AA15" s="303">
        <f t="shared" si="1"/>
        <v>0</v>
      </c>
      <c r="AB15" s="303">
        <f t="shared" si="2"/>
        <v>0</v>
      </c>
      <c r="AC15" s="303">
        <f t="shared" si="2"/>
        <v>0</v>
      </c>
      <c r="AD15" s="548" t="str">
        <f t="shared" si="3"/>
        <v/>
      </c>
      <c r="AE15" s="548" t="str">
        <f t="shared" si="4"/>
        <v/>
      </c>
      <c r="AF15" s="240" t="str">
        <f t="shared" si="5"/>
        <v/>
      </c>
      <c r="AG15" s="240" t="str">
        <f t="shared" si="6"/>
        <v/>
      </c>
      <c r="AH15" s="240" t="str">
        <f t="shared" si="7"/>
        <v/>
      </c>
      <c r="AI15" s="240">
        <v>0.8</v>
      </c>
      <c r="AJ15" s="240" t="str">
        <f t="shared" si="8"/>
        <v/>
      </c>
      <c r="AK15" s="240">
        <v>0.85</v>
      </c>
      <c r="AL15" s="240">
        <f t="shared" si="9"/>
        <v>0</v>
      </c>
      <c r="AM15" s="240">
        <f t="shared" si="10"/>
        <v>0</v>
      </c>
      <c r="AN15" s="240" t="str">
        <f t="shared" si="11"/>
        <v/>
      </c>
      <c r="AO15" s="240" t="str">
        <f t="shared" si="12"/>
        <v/>
      </c>
      <c r="AP15" s="240">
        <f t="shared" si="13"/>
        <v>0</v>
      </c>
      <c r="AQ15" s="240">
        <v>0.25</v>
      </c>
      <c r="AR15" s="507" t="str">
        <f t="shared" si="14"/>
        <v/>
      </c>
      <c r="AS15" s="508" t="str">
        <f t="shared" si="15"/>
        <v/>
      </c>
      <c r="AT15" s="242" t="str">
        <f t="shared" si="16"/>
        <v/>
      </c>
      <c r="AU15" s="243">
        <f t="shared" si="17"/>
        <v>0</v>
      </c>
      <c r="AV15" s="509" t="str">
        <f t="shared" si="18"/>
        <v/>
      </c>
      <c r="AW15" s="243" t="str">
        <f t="shared" si="19"/>
        <v/>
      </c>
      <c r="AX15" s="244" t="str">
        <f t="shared" si="20"/>
        <v/>
      </c>
      <c r="AY15" s="245" t="str">
        <f t="shared" si="21"/>
        <v>Yes</v>
      </c>
      <c r="AZ15" s="246" t="str">
        <f t="shared" si="22"/>
        <v>Smart Thermostat</v>
      </c>
      <c r="BA15" s="245" t="s">
        <v>728</v>
      </c>
      <c r="BB15" s="640"/>
    </row>
    <row r="16" spans="1:54" ht="15" customHeight="1">
      <c r="A16" s="641"/>
      <c r="B16" s="18">
        <v>6</v>
      </c>
      <c r="C16" s="217" t="s">
        <v>727</v>
      </c>
      <c r="D16" s="32"/>
      <c r="E16" s="168"/>
      <c r="F16" s="168"/>
      <c r="G16" s="31"/>
      <c r="H16" s="149" t="str">
        <f>IFERROR(VLOOKUP(G16, 'Lookup Tables'!$B$5:$C$2226, 2, FALSE), "")</f>
        <v/>
      </c>
      <c r="I16" s="380"/>
      <c r="J16" s="32"/>
      <c r="K16" s="32"/>
      <c r="L16" s="218"/>
      <c r="M16" s="218"/>
      <c r="N16" s="380"/>
      <c r="O16" s="380"/>
      <c r="P16" s="380"/>
      <c r="Q16" s="380"/>
      <c r="R16" s="380"/>
      <c r="S16" s="380"/>
      <c r="T16" s="380"/>
      <c r="U16" s="380"/>
      <c r="V16" s="380"/>
      <c r="W16" s="380"/>
      <c r="X16" s="240" t="str">
        <f t="shared" si="0"/>
        <v/>
      </c>
      <c r="Y16" s="302" t="str">
        <f>IFERROR(VLOOKUP(F16, 'Lookup Tables'!$G$5:$P$19, MATCH(H16, 'Lookup Tables'!$H$5:$P$5,1)+1, FALSE),"")</f>
        <v/>
      </c>
      <c r="Z16" s="302" t="str">
        <f>IFERROR(VLOOKUP(F16, 'Lookup Tables'!$R$5:$AA$27, MATCH(H16, 'Lookup Tables'!$S$5:$AA$5,1)+1, FALSE),"")</f>
        <v/>
      </c>
      <c r="AA16" s="303">
        <f t="shared" si="1"/>
        <v>0</v>
      </c>
      <c r="AB16" s="303">
        <f t="shared" si="2"/>
        <v>0</v>
      </c>
      <c r="AC16" s="303">
        <f t="shared" si="2"/>
        <v>0</v>
      </c>
      <c r="AD16" s="548" t="str">
        <f t="shared" si="3"/>
        <v/>
      </c>
      <c r="AE16" s="548" t="str">
        <f t="shared" si="4"/>
        <v/>
      </c>
      <c r="AF16" s="240" t="str">
        <f t="shared" si="5"/>
        <v/>
      </c>
      <c r="AG16" s="240" t="str">
        <f t="shared" si="6"/>
        <v/>
      </c>
      <c r="AH16" s="240" t="str">
        <f t="shared" si="7"/>
        <v/>
      </c>
      <c r="AI16" s="240">
        <v>0.8</v>
      </c>
      <c r="AJ16" s="240" t="str">
        <f t="shared" si="8"/>
        <v/>
      </c>
      <c r="AK16" s="240">
        <v>0.85</v>
      </c>
      <c r="AL16" s="240">
        <f t="shared" si="9"/>
        <v>0</v>
      </c>
      <c r="AM16" s="240">
        <f t="shared" si="10"/>
        <v>0</v>
      </c>
      <c r="AN16" s="240" t="str">
        <f t="shared" si="11"/>
        <v/>
      </c>
      <c r="AO16" s="240" t="str">
        <f t="shared" si="12"/>
        <v/>
      </c>
      <c r="AP16" s="240">
        <f t="shared" si="13"/>
        <v>0</v>
      </c>
      <c r="AQ16" s="240">
        <v>0.25</v>
      </c>
      <c r="AR16" s="507" t="str">
        <f t="shared" si="14"/>
        <v/>
      </c>
      <c r="AS16" s="508" t="str">
        <f t="shared" si="15"/>
        <v/>
      </c>
      <c r="AT16" s="242" t="str">
        <f t="shared" si="16"/>
        <v/>
      </c>
      <c r="AU16" s="243">
        <f t="shared" si="17"/>
        <v>0</v>
      </c>
      <c r="AV16" s="509" t="str">
        <f t="shared" si="18"/>
        <v/>
      </c>
      <c r="AW16" s="243" t="str">
        <f t="shared" si="19"/>
        <v/>
      </c>
      <c r="AX16" s="244" t="str">
        <f t="shared" si="20"/>
        <v/>
      </c>
      <c r="AY16" s="245" t="str">
        <f t="shared" si="21"/>
        <v>Yes</v>
      </c>
      <c r="AZ16" s="246" t="str">
        <f t="shared" si="22"/>
        <v>Smart Thermostat</v>
      </c>
      <c r="BA16" s="245" t="s">
        <v>728</v>
      </c>
      <c r="BB16" s="640"/>
    </row>
    <row r="17" spans="1:54">
      <c r="A17" s="640"/>
      <c r="B17" s="640"/>
      <c r="C17" s="640"/>
      <c r="D17" s="640"/>
      <c r="E17" s="640"/>
      <c r="F17" s="640"/>
      <c r="G17" s="640"/>
      <c r="H17" s="640"/>
      <c r="I17" s="640"/>
      <c r="J17" s="640"/>
      <c r="K17" s="640"/>
      <c r="L17" s="640"/>
      <c r="M17" s="640"/>
      <c r="N17" s="640"/>
      <c r="O17" s="640"/>
      <c r="P17" s="640"/>
      <c r="Q17" s="640"/>
      <c r="R17" s="640"/>
      <c r="S17" s="640"/>
      <c r="T17" s="640"/>
      <c r="U17" s="640"/>
      <c r="V17" s="640"/>
      <c r="W17" s="640"/>
      <c r="X17" s="640"/>
      <c r="Y17" s="640"/>
      <c r="Z17" s="640"/>
      <c r="AA17" s="640"/>
      <c r="AB17" s="640"/>
      <c r="AC17" s="640"/>
      <c r="AD17" s="640"/>
      <c r="AE17" s="640"/>
      <c r="AF17" s="640"/>
      <c r="AG17" s="640"/>
      <c r="AH17" s="640"/>
      <c r="AI17" s="640"/>
      <c r="AJ17" s="640"/>
      <c r="AK17" s="640"/>
      <c r="AL17" s="640"/>
      <c r="AM17" s="640"/>
      <c r="AN17" s="640"/>
      <c r="AO17" s="640"/>
      <c r="AP17" s="640"/>
      <c r="AQ17" s="640"/>
      <c r="AR17" s="640"/>
      <c r="AS17" s="640"/>
      <c r="AT17" s="640"/>
      <c r="AU17" s="640"/>
      <c r="AV17" s="640"/>
      <c r="AW17" s="640"/>
      <c r="AX17" s="640"/>
      <c r="BB17" s="640"/>
    </row>
    <row r="18" spans="1:54" hidden="1">
      <c r="D18" s="640">
        <f>SUM(D11:D16)</f>
        <v>0</v>
      </c>
      <c r="AS18">
        <f>SUM(AS11:AS16)</f>
        <v>0</v>
      </c>
      <c r="AV18">
        <f>SUM(AV11:AV16)</f>
        <v>0</v>
      </c>
      <c r="AX18">
        <f>SUM(AX11:AX16)</f>
        <v>0</v>
      </c>
    </row>
    <row r="19" spans="1:54" ht="15.75" hidden="1" thickBot="1">
      <c r="H19" s="420" t="s">
        <v>729</v>
      </c>
    </row>
    <row r="20" spans="1:54" ht="39.75" hidden="1" thickBot="1">
      <c r="H20" s="538" t="s">
        <v>646</v>
      </c>
      <c r="I20" s="539" t="s">
        <v>647</v>
      </c>
      <c r="J20" s="539" t="s">
        <v>648</v>
      </c>
      <c r="K20" s="539" t="s">
        <v>649</v>
      </c>
      <c r="L20" s="539"/>
      <c r="M20" s="539" t="s">
        <v>650</v>
      </c>
      <c r="N20" s="539" t="s">
        <v>651</v>
      </c>
      <c r="O20" s="539" t="s">
        <v>652</v>
      </c>
      <c r="P20" s="539" t="s">
        <v>653</v>
      </c>
      <c r="Q20" s="539" t="s">
        <v>654</v>
      </c>
      <c r="R20" s="539" t="s">
        <v>655</v>
      </c>
    </row>
    <row r="21" spans="1:54" ht="36.75" hidden="1" thickBot="1">
      <c r="C21" s="519" t="s">
        <v>730</v>
      </c>
      <c r="D21" s="520" t="s">
        <v>731</v>
      </c>
      <c r="E21" s="521" t="s">
        <v>732</v>
      </c>
      <c r="H21" s="540" t="s">
        <v>363</v>
      </c>
      <c r="I21" s="541">
        <v>0.48</v>
      </c>
      <c r="J21" s="541">
        <v>0.4</v>
      </c>
      <c r="K21" s="541">
        <v>0.37</v>
      </c>
      <c r="L21" s="541"/>
      <c r="M21" s="541">
        <v>0.38</v>
      </c>
      <c r="N21" s="541">
        <v>0.48</v>
      </c>
      <c r="O21" s="541">
        <v>0.51</v>
      </c>
      <c r="P21" s="541">
        <v>0.48</v>
      </c>
      <c r="Q21" s="541">
        <v>0.45</v>
      </c>
      <c r="R21" s="541">
        <v>0.49</v>
      </c>
    </row>
    <row r="22" spans="1:54" ht="24.75" hidden="1" thickBot="1">
      <c r="C22" s="522" t="s">
        <v>733</v>
      </c>
      <c r="D22" s="542">
        <v>6.9400000000000003E-2</v>
      </c>
      <c r="E22" s="544">
        <v>6.5250000000000002E-2</v>
      </c>
      <c r="H22" s="540" t="s">
        <v>239</v>
      </c>
      <c r="I22" s="541">
        <v>0.12</v>
      </c>
      <c r="J22" s="541">
        <v>0.09</v>
      </c>
      <c r="K22" s="541">
        <v>7.0000000000000007E-2</v>
      </c>
      <c r="L22" s="541"/>
      <c r="M22" s="541">
        <v>0.09</v>
      </c>
      <c r="N22" s="541">
        <v>0.18</v>
      </c>
      <c r="O22" s="541">
        <v>0.19</v>
      </c>
      <c r="P22" s="541">
        <v>0.18</v>
      </c>
      <c r="Q22" s="541">
        <v>0.13</v>
      </c>
      <c r="R22" s="541">
        <v>0.15</v>
      </c>
    </row>
    <row r="23" spans="1:54" ht="15.75" hidden="1" thickBot="1">
      <c r="C23" s="522" t="s">
        <v>734</v>
      </c>
      <c r="D23" s="542">
        <v>4.9399999999999999E-2</v>
      </c>
      <c r="E23" s="544">
        <v>4.5249999999999999E-2</v>
      </c>
      <c r="H23" s="540" t="s">
        <v>517</v>
      </c>
      <c r="I23" s="541">
        <v>0.33</v>
      </c>
      <c r="J23" s="541">
        <v>0.26</v>
      </c>
      <c r="K23" s="541">
        <v>0.26</v>
      </c>
      <c r="L23" s="541"/>
      <c r="M23" s="541">
        <v>0.27</v>
      </c>
      <c r="N23" s="541">
        <v>0.24</v>
      </c>
      <c r="O23" s="541">
        <v>0.26</v>
      </c>
      <c r="P23" s="541">
        <v>0.27</v>
      </c>
      <c r="Q23" s="541">
        <v>0.21</v>
      </c>
      <c r="R23" s="541">
        <v>0.24</v>
      </c>
    </row>
    <row r="24" spans="1:54" ht="24.75" hidden="1" thickBot="1">
      <c r="C24" s="523" t="s">
        <v>735</v>
      </c>
      <c r="D24" s="543">
        <v>6.1800000000000001E-2</v>
      </c>
      <c r="E24" s="545">
        <v>5.765E-2</v>
      </c>
      <c r="H24" s="540" t="s">
        <v>670</v>
      </c>
      <c r="I24" s="541">
        <v>0.43</v>
      </c>
      <c r="J24" s="541">
        <v>0.36</v>
      </c>
      <c r="K24" s="541">
        <v>0.34</v>
      </c>
      <c r="L24" s="541"/>
      <c r="M24" s="541">
        <v>0.37</v>
      </c>
      <c r="N24" s="541">
        <v>0.39</v>
      </c>
      <c r="O24" s="541">
        <v>0.44</v>
      </c>
      <c r="P24" s="541">
        <v>0.39</v>
      </c>
      <c r="Q24" s="541">
        <v>0.37</v>
      </c>
      <c r="R24" s="541">
        <v>0.42</v>
      </c>
    </row>
    <row r="25" spans="1:54" ht="15.75" hidden="1" thickBot="1">
      <c r="H25" s="540" t="s">
        <v>673</v>
      </c>
      <c r="I25" s="541">
        <v>0.26</v>
      </c>
      <c r="J25" s="541">
        <v>0.25</v>
      </c>
      <c r="K25" s="541">
        <v>0.23</v>
      </c>
      <c r="L25" s="541"/>
      <c r="M25" s="541">
        <v>0.27</v>
      </c>
      <c r="N25" s="541">
        <v>0.3</v>
      </c>
      <c r="O25" s="541">
        <v>0.34</v>
      </c>
      <c r="P25" s="541">
        <v>0.32</v>
      </c>
      <c r="Q25" s="541">
        <v>0.28000000000000003</v>
      </c>
      <c r="R25" s="541">
        <v>0.28999999999999998</v>
      </c>
    </row>
    <row r="26" spans="1:54" ht="24.75" hidden="1" thickBot="1">
      <c r="C26" s="529" t="s">
        <v>736</v>
      </c>
      <c r="D26" s="530" t="s">
        <v>737</v>
      </c>
      <c r="E26" s="530" t="s">
        <v>738</v>
      </c>
      <c r="F26" s="531" t="s">
        <v>739</v>
      </c>
      <c r="H26" s="540" t="s">
        <v>676</v>
      </c>
      <c r="I26" s="541">
        <v>0.51</v>
      </c>
      <c r="J26" s="541">
        <v>0.37</v>
      </c>
      <c r="K26" s="541">
        <v>0.33</v>
      </c>
      <c r="L26" s="541"/>
      <c r="M26" s="541">
        <v>0.39</v>
      </c>
      <c r="N26" s="541">
        <v>0.55000000000000004</v>
      </c>
      <c r="O26" s="541">
        <v>0.6</v>
      </c>
      <c r="P26" s="541">
        <v>0.53</v>
      </c>
      <c r="Q26" s="541">
        <v>0.45</v>
      </c>
      <c r="R26" s="541">
        <v>0.48</v>
      </c>
    </row>
    <row r="27" spans="1:54" ht="24.75" hidden="1" thickBot="1">
      <c r="C27" s="806" t="s">
        <v>740</v>
      </c>
      <c r="D27" s="809" t="s">
        <v>741</v>
      </c>
      <c r="E27" s="524" t="s">
        <v>742</v>
      </c>
      <c r="F27" s="812" t="s">
        <v>743</v>
      </c>
      <c r="H27" s="540" t="s">
        <v>678</v>
      </c>
      <c r="I27" s="541">
        <v>0.53</v>
      </c>
      <c r="J27" s="541">
        <v>0.38</v>
      </c>
      <c r="K27" s="541">
        <v>0.34</v>
      </c>
      <c r="L27" s="541"/>
      <c r="M27" s="541">
        <v>0.45</v>
      </c>
      <c r="N27" s="541">
        <v>0.6</v>
      </c>
      <c r="O27" s="541">
        <v>0.72</v>
      </c>
      <c r="P27" s="541">
        <v>0.56000000000000005</v>
      </c>
      <c r="Q27" s="541">
        <v>0.48</v>
      </c>
      <c r="R27" s="541">
        <v>0.52</v>
      </c>
    </row>
    <row r="28" spans="1:54" ht="15.75" hidden="1" thickBot="1">
      <c r="C28" s="807"/>
      <c r="D28" s="810"/>
      <c r="E28" s="525" t="s">
        <v>744</v>
      </c>
      <c r="F28" s="813"/>
      <c r="H28" s="540" t="s">
        <v>680</v>
      </c>
      <c r="I28" s="541">
        <v>0.72</v>
      </c>
      <c r="J28" s="541">
        <v>0.73</v>
      </c>
      <c r="K28" s="541">
        <v>0.71</v>
      </c>
      <c r="L28" s="541"/>
      <c r="M28" s="541">
        <v>0.77</v>
      </c>
      <c r="N28" s="541">
        <v>0.78</v>
      </c>
      <c r="O28" s="541">
        <v>0.83</v>
      </c>
      <c r="P28" s="541">
        <v>0.83</v>
      </c>
      <c r="Q28" s="541">
        <v>0.73</v>
      </c>
      <c r="R28" s="541">
        <v>0.78</v>
      </c>
    </row>
    <row r="29" spans="1:54" ht="36.75" hidden="1" thickBot="1">
      <c r="C29" s="808"/>
      <c r="D29" s="811"/>
      <c r="E29" s="526" t="s">
        <v>745</v>
      </c>
      <c r="F29" s="532" t="s">
        <v>746</v>
      </c>
      <c r="H29" s="540" t="s">
        <v>682</v>
      </c>
      <c r="I29" s="541">
        <v>0.48</v>
      </c>
      <c r="J29" s="541">
        <v>0.48</v>
      </c>
      <c r="K29" s="541">
        <v>0.48</v>
      </c>
      <c r="L29" s="541"/>
      <c r="M29" s="541">
        <v>0.48</v>
      </c>
      <c r="N29" s="541">
        <v>0.48</v>
      </c>
      <c r="O29" s="541">
        <v>0.48</v>
      </c>
      <c r="P29" s="541">
        <v>0.48</v>
      </c>
      <c r="Q29" s="541">
        <v>0.48</v>
      </c>
      <c r="R29" s="541">
        <v>0.48</v>
      </c>
    </row>
    <row r="30" spans="1:54" ht="24.75" hidden="1" thickBot="1">
      <c r="C30" s="806" t="s">
        <v>747</v>
      </c>
      <c r="D30" s="809" t="s">
        <v>741</v>
      </c>
      <c r="E30" s="524" t="s">
        <v>742</v>
      </c>
      <c r="F30" s="812" t="s">
        <v>743</v>
      </c>
      <c r="H30" s="540" t="s">
        <v>683</v>
      </c>
      <c r="I30" s="541">
        <v>0.32</v>
      </c>
      <c r="J30" s="541">
        <v>0.16</v>
      </c>
      <c r="K30" s="541">
        <v>0.26</v>
      </c>
      <c r="L30" s="541"/>
      <c r="M30" s="541">
        <v>0.31</v>
      </c>
      <c r="N30" s="541">
        <v>0.41</v>
      </c>
      <c r="O30" s="541">
        <v>0.27</v>
      </c>
      <c r="P30" s="541">
        <v>0.35</v>
      </c>
      <c r="Q30" s="541">
        <v>0.36</v>
      </c>
      <c r="R30" s="541">
        <v>0.37</v>
      </c>
    </row>
    <row r="31" spans="1:54" ht="15.75" hidden="1" thickBot="1">
      <c r="C31" s="807"/>
      <c r="D31" s="810"/>
      <c r="E31" s="525" t="s">
        <v>748</v>
      </c>
      <c r="F31" s="813"/>
      <c r="H31" s="540" t="s">
        <v>684</v>
      </c>
      <c r="I31" s="541">
        <v>0.38</v>
      </c>
      <c r="J31" s="541">
        <v>0.36</v>
      </c>
      <c r="K31" s="541">
        <v>0.33</v>
      </c>
      <c r="L31" s="541"/>
      <c r="M31" s="541">
        <v>0.37</v>
      </c>
      <c r="N31" s="541">
        <v>0.42</v>
      </c>
      <c r="O31" s="541">
        <v>0.5</v>
      </c>
      <c r="P31" s="541">
        <v>0.49</v>
      </c>
      <c r="Q31" s="541">
        <v>0.39</v>
      </c>
      <c r="R31" s="541">
        <v>0.45</v>
      </c>
    </row>
    <row r="32" spans="1:54" ht="15.75" hidden="1" thickBot="1">
      <c r="C32" s="808"/>
      <c r="D32" s="811"/>
      <c r="E32" s="526" t="s">
        <v>749</v>
      </c>
      <c r="F32" s="532" t="s">
        <v>746</v>
      </c>
      <c r="H32" s="540" t="s">
        <v>685</v>
      </c>
      <c r="I32" s="541">
        <v>0.52</v>
      </c>
      <c r="J32" s="541">
        <v>0.45</v>
      </c>
      <c r="K32" s="541">
        <v>0.42</v>
      </c>
      <c r="L32" s="541"/>
      <c r="M32" s="541">
        <v>0.46</v>
      </c>
      <c r="N32" s="541">
        <v>0.53</v>
      </c>
      <c r="O32" s="541">
        <v>0.56999999999999995</v>
      </c>
      <c r="P32" s="541">
        <v>0.56000000000000005</v>
      </c>
      <c r="Q32" s="541">
        <v>0.47</v>
      </c>
      <c r="R32" s="541">
        <v>0.49</v>
      </c>
    </row>
    <row r="33" spans="3:18" ht="24.75" hidden="1" thickBot="1">
      <c r="C33" s="806" t="s">
        <v>750</v>
      </c>
      <c r="D33" s="809" t="s">
        <v>741</v>
      </c>
      <c r="E33" s="524" t="s">
        <v>742</v>
      </c>
      <c r="F33" s="812" t="s">
        <v>743</v>
      </c>
      <c r="H33" s="540" t="s">
        <v>687</v>
      </c>
      <c r="I33" s="541">
        <v>0.18</v>
      </c>
      <c r="J33" s="541">
        <v>0.11</v>
      </c>
      <c r="K33" s="541">
        <v>0.1</v>
      </c>
      <c r="L33" s="541"/>
      <c r="M33" s="541">
        <v>0.13</v>
      </c>
      <c r="N33" s="541">
        <v>0.24</v>
      </c>
      <c r="O33" s="541">
        <v>0.3</v>
      </c>
      <c r="P33" s="541">
        <v>0.23</v>
      </c>
      <c r="Q33" s="541">
        <v>0.15</v>
      </c>
      <c r="R33" s="541">
        <v>0.2</v>
      </c>
    </row>
    <row r="34" spans="3:18" ht="24.75" hidden="1" thickBot="1">
      <c r="C34" s="807"/>
      <c r="D34" s="810"/>
      <c r="E34" s="525" t="s">
        <v>744</v>
      </c>
      <c r="F34" s="813"/>
      <c r="H34" s="540" t="s">
        <v>689</v>
      </c>
      <c r="I34" s="541">
        <v>0.5</v>
      </c>
      <c r="J34" s="541">
        <v>0.47</v>
      </c>
      <c r="K34" s="541">
        <v>0.45</v>
      </c>
      <c r="L34" s="541"/>
      <c r="M34" s="541">
        <v>0.48</v>
      </c>
      <c r="N34" s="541">
        <v>0.52</v>
      </c>
      <c r="O34" s="541">
        <v>0.53</v>
      </c>
      <c r="P34" s="541">
        <v>0.51</v>
      </c>
      <c r="Q34" s="541">
        <v>0.48</v>
      </c>
      <c r="R34" s="541">
        <v>0.51</v>
      </c>
    </row>
    <row r="35" spans="3:18" ht="24.75" hidden="1" thickBot="1">
      <c r="C35" s="808"/>
      <c r="D35" s="811"/>
      <c r="E35" s="526" t="s">
        <v>751</v>
      </c>
      <c r="F35" s="532" t="s">
        <v>746</v>
      </c>
    </row>
    <row r="36" spans="3:18" ht="24" hidden="1">
      <c r="C36" s="806" t="s">
        <v>752</v>
      </c>
      <c r="D36" s="809" t="s">
        <v>753</v>
      </c>
      <c r="E36" s="524" t="s">
        <v>742</v>
      </c>
      <c r="F36" s="812" t="s">
        <v>743</v>
      </c>
      <c r="H36" s="549" t="s">
        <v>209</v>
      </c>
      <c r="I36" s="549" t="s">
        <v>754</v>
      </c>
      <c r="J36" s="549" t="s">
        <v>755</v>
      </c>
      <c r="M36" s="551" t="s">
        <v>756</v>
      </c>
    </row>
    <row r="37" spans="3:18" ht="26.25" hidden="1" thickBot="1">
      <c r="C37" s="807"/>
      <c r="D37" s="810"/>
      <c r="E37" s="525" t="s">
        <v>744</v>
      </c>
      <c r="F37" s="813"/>
      <c r="H37" s="549" t="s">
        <v>317</v>
      </c>
      <c r="I37" s="338">
        <v>0</v>
      </c>
      <c r="J37" s="338">
        <v>0</v>
      </c>
      <c r="M37" s="551" t="s">
        <v>533</v>
      </c>
    </row>
    <row r="38" spans="3:18" ht="25.5" hidden="1">
      <c r="C38" s="807"/>
      <c r="D38" s="810"/>
      <c r="E38" s="524" t="s">
        <v>757</v>
      </c>
      <c r="F38" s="812" t="s">
        <v>758</v>
      </c>
      <c r="H38" s="549" t="s">
        <v>243</v>
      </c>
      <c r="I38" s="338">
        <v>0</v>
      </c>
      <c r="J38" s="338">
        <v>0</v>
      </c>
      <c r="M38" s="551" t="s">
        <v>759</v>
      </c>
    </row>
    <row r="39" spans="3:18" hidden="1">
      <c r="C39" s="807"/>
      <c r="D39" s="810"/>
      <c r="E39" s="527" t="s">
        <v>760</v>
      </c>
      <c r="F39" s="814"/>
      <c r="H39" s="549" t="s">
        <v>761</v>
      </c>
      <c r="I39" s="338">
        <v>0.5</v>
      </c>
      <c r="J39" s="550">
        <v>0.5</v>
      </c>
      <c r="M39" s="551" t="s">
        <v>762</v>
      </c>
    </row>
    <row r="40" spans="3:18" ht="24.75" hidden="1" thickBot="1">
      <c r="C40" s="808"/>
      <c r="D40" s="811"/>
      <c r="E40" s="525" t="s">
        <v>763</v>
      </c>
      <c r="F40" s="813"/>
    </row>
    <row r="41" spans="3:18" ht="20.25" hidden="1" customHeight="1">
      <c r="C41" s="815" t="s">
        <v>764</v>
      </c>
      <c r="D41" s="809" t="s">
        <v>753</v>
      </c>
      <c r="E41" s="818" t="s">
        <v>765</v>
      </c>
      <c r="F41" s="812" t="s">
        <v>743</v>
      </c>
      <c r="H41" s="549" t="s">
        <v>209</v>
      </c>
      <c r="I41" s="549" t="s">
        <v>246</v>
      </c>
      <c r="J41" s="549" t="s">
        <v>206</v>
      </c>
      <c r="K41" s="549" t="s">
        <v>471</v>
      </c>
    </row>
    <row r="42" spans="3:18" ht="24.75" hidden="1" thickBot="1">
      <c r="C42" s="816"/>
      <c r="D42" s="810"/>
      <c r="E42" s="819"/>
      <c r="F42" s="813"/>
      <c r="H42" s="549" t="s">
        <v>766</v>
      </c>
      <c r="I42" s="362">
        <v>12.1</v>
      </c>
      <c r="J42" s="362">
        <v>10.6</v>
      </c>
      <c r="K42" s="362"/>
    </row>
    <row r="43" spans="3:18" hidden="1">
      <c r="C43" s="816"/>
      <c r="D43" s="810"/>
      <c r="E43" s="524" t="s">
        <v>767</v>
      </c>
      <c r="F43" s="812" t="s">
        <v>758</v>
      </c>
      <c r="H43" s="549" t="s">
        <v>317</v>
      </c>
      <c r="I43" s="362">
        <v>13.5</v>
      </c>
      <c r="J43" s="362">
        <v>11.4</v>
      </c>
      <c r="K43" s="362">
        <v>8.1999999999999993</v>
      </c>
    </row>
    <row r="44" spans="3:18" ht="36" hidden="1">
      <c r="C44" s="816"/>
      <c r="D44" s="810"/>
      <c r="E44" s="527" t="s">
        <v>768</v>
      </c>
      <c r="F44" s="814"/>
      <c r="H44" s="549" t="s">
        <v>482</v>
      </c>
      <c r="I44" s="362">
        <v>17.399999999999999</v>
      </c>
      <c r="J44" s="362">
        <v>17.100000000000001</v>
      </c>
      <c r="K44" s="362">
        <v>12.3</v>
      </c>
    </row>
    <row r="45" spans="3:18" ht="24.75" hidden="1" thickBot="1">
      <c r="C45" s="817"/>
      <c r="D45" s="811"/>
      <c r="E45" s="525" t="s">
        <v>769</v>
      </c>
      <c r="F45" s="813"/>
    </row>
    <row r="46" spans="3:18" ht="24" hidden="1">
      <c r="C46" s="806" t="s">
        <v>770</v>
      </c>
      <c r="D46" s="809" t="s">
        <v>753</v>
      </c>
      <c r="E46" s="524" t="s">
        <v>742</v>
      </c>
      <c r="F46" s="812" t="s">
        <v>743</v>
      </c>
      <c r="I46" s="549" t="s">
        <v>132</v>
      </c>
      <c r="J46" s="549" t="s">
        <v>143</v>
      </c>
      <c r="K46" s="549" t="s">
        <v>771</v>
      </c>
    </row>
    <row r="47" spans="3:18" ht="15.75" hidden="1" thickBot="1">
      <c r="C47" s="807"/>
      <c r="D47" s="810"/>
      <c r="E47" s="525" t="s">
        <v>744</v>
      </c>
      <c r="F47" s="813"/>
      <c r="I47" t="s">
        <v>727</v>
      </c>
      <c r="J47" t="s">
        <v>727</v>
      </c>
      <c r="K47" t="s">
        <v>728</v>
      </c>
    </row>
    <row r="48" spans="3:18" ht="24" hidden="1">
      <c r="C48" s="807"/>
      <c r="D48" s="810"/>
      <c r="E48" s="524" t="s">
        <v>772</v>
      </c>
      <c r="F48" s="812" t="s">
        <v>758</v>
      </c>
    </row>
    <row r="49" spans="3:6" ht="24.75" hidden="1" thickBot="1">
      <c r="C49" s="808"/>
      <c r="D49" s="811"/>
      <c r="E49" s="525" t="s">
        <v>773</v>
      </c>
      <c r="F49" s="813"/>
    </row>
    <row r="50" spans="3:6" ht="15.75" hidden="1" thickBot="1">
      <c r="C50" s="533" t="s">
        <v>774</v>
      </c>
      <c r="D50" s="528" t="s">
        <v>775</v>
      </c>
      <c r="E50" s="526" t="s">
        <v>776</v>
      </c>
      <c r="F50" s="532" t="s">
        <v>777</v>
      </c>
    </row>
    <row r="51" spans="3:6" hidden="1">
      <c r="C51" s="806" t="s">
        <v>778</v>
      </c>
      <c r="D51" s="809" t="s">
        <v>779</v>
      </c>
      <c r="E51" s="818" t="s">
        <v>780</v>
      </c>
      <c r="F51" s="812" t="s">
        <v>781</v>
      </c>
    </row>
    <row r="52" spans="3:6" hidden="1">
      <c r="C52" s="807"/>
      <c r="D52" s="810"/>
      <c r="E52" s="825"/>
      <c r="F52" s="814"/>
    </row>
    <row r="53" spans="3:6" ht="15.75" hidden="1" thickBot="1">
      <c r="C53" s="808"/>
      <c r="D53" s="811"/>
      <c r="E53" s="819"/>
      <c r="F53" s="813"/>
    </row>
    <row r="54" spans="3:6" hidden="1">
      <c r="C54" s="806" t="s">
        <v>782</v>
      </c>
      <c r="D54" s="809" t="s">
        <v>779</v>
      </c>
      <c r="E54" s="818" t="s">
        <v>783</v>
      </c>
      <c r="F54" s="812" t="s">
        <v>781</v>
      </c>
    </row>
    <row r="55" spans="3:6" hidden="1">
      <c r="C55" s="807"/>
      <c r="D55" s="810"/>
      <c r="E55" s="825"/>
      <c r="F55" s="814"/>
    </row>
    <row r="56" spans="3:6" ht="15.75" hidden="1" thickBot="1">
      <c r="C56" s="808"/>
      <c r="D56" s="811"/>
      <c r="E56" s="819"/>
      <c r="F56" s="813"/>
    </row>
    <row r="57" spans="3:6" ht="24" hidden="1">
      <c r="C57" s="806" t="s">
        <v>784</v>
      </c>
      <c r="D57" s="820" t="s">
        <v>785</v>
      </c>
      <c r="E57" s="524" t="s">
        <v>742</v>
      </c>
      <c r="F57" s="812" t="s">
        <v>743</v>
      </c>
    </row>
    <row r="58" spans="3:6" ht="15.75" hidden="1" thickBot="1">
      <c r="C58" s="807"/>
      <c r="D58" s="822"/>
      <c r="E58" s="525" t="s">
        <v>744</v>
      </c>
      <c r="F58" s="813"/>
    </row>
    <row r="59" spans="3:6" ht="36.75" hidden="1" thickBot="1">
      <c r="C59" s="808"/>
      <c r="D59" s="821"/>
      <c r="E59" s="526" t="s">
        <v>786</v>
      </c>
      <c r="F59" s="532" t="s">
        <v>787</v>
      </c>
    </row>
    <row r="60" spans="3:6" ht="24" hidden="1">
      <c r="C60" s="823" t="s">
        <v>788</v>
      </c>
      <c r="D60" s="820" t="s">
        <v>789</v>
      </c>
      <c r="E60" s="524" t="s">
        <v>743</v>
      </c>
      <c r="F60" s="812" t="s">
        <v>790</v>
      </c>
    </row>
    <row r="61" spans="3:6" ht="15.75" hidden="1" thickBot="1">
      <c r="C61" s="824"/>
      <c r="D61" s="821"/>
      <c r="E61" s="525" t="s">
        <v>791</v>
      </c>
      <c r="F61" s="813"/>
    </row>
    <row r="62" spans="3:6" ht="24.75" hidden="1" thickBot="1">
      <c r="C62" s="806" t="s">
        <v>792</v>
      </c>
      <c r="D62" s="820" t="s">
        <v>775</v>
      </c>
      <c r="E62" s="526" t="s">
        <v>743</v>
      </c>
      <c r="F62" s="532" t="s">
        <v>743</v>
      </c>
    </row>
    <row r="63" spans="3:6" ht="15.75" hidden="1" thickBot="1">
      <c r="C63" s="808"/>
      <c r="D63" s="821"/>
      <c r="E63" s="526" t="s">
        <v>793</v>
      </c>
      <c r="F63" s="532" t="s">
        <v>794</v>
      </c>
    </row>
    <row r="64" spans="3:6" ht="24.75" hidden="1" thickBot="1">
      <c r="C64" s="806" t="s">
        <v>795</v>
      </c>
      <c r="D64" s="820" t="s">
        <v>775</v>
      </c>
      <c r="E64" s="526" t="s">
        <v>743</v>
      </c>
      <c r="F64" s="532" t="s">
        <v>743</v>
      </c>
    </row>
    <row r="65" spans="3:6" ht="15.75" hidden="1" thickBot="1">
      <c r="C65" s="808"/>
      <c r="D65" s="821"/>
      <c r="E65" s="526" t="s">
        <v>796</v>
      </c>
      <c r="F65" s="532" t="s">
        <v>794</v>
      </c>
    </row>
    <row r="66" spans="3:6" ht="24.75" hidden="1" thickBot="1">
      <c r="C66" s="533" t="s">
        <v>797</v>
      </c>
      <c r="D66" s="528" t="s">
        <v>775</v>
      </c>
      <c r="E66" s="526" t="s">
        <v>798</v>
      </c>
      <c r="F66" s="532" t="s">
        <v>799</v>
      </c>
    </row>
    <row r="67" spans="3:6" ht="24.75" hidden="1" thickBot="1">
      <c r="C67" s="533" t="s">
        <v>800</v>
      </c>
      <c r="D67" s="528" t="s">
        <v>775</v>
      </c>
      <c r="E67" s="526" t="s">
        <v>798</v>
      </c>
      <c r="F67" s="532" t="s">
        <v>799</v>
      </c>
    </row>
    <row r="68" spans="3:6" ht="24.75" hidden="1" thickBot="1">
      <c r="C68" s="533" t="s">
        <v>801</v>
      </c>
      <c r="D68" s="528" t="s">
        <v>802</v>
      </c>
      <c r="E68" s="526" t="s">
        <v>803</v>
      </c>
      <c r="F68" s="532" t="s">
        <v>804</v>
      </c>
    </row>
    <row r="69" spans="3:6" ht="36.75" hidden="1" thickBot="1">
      <c r="C69" s="533" t="s">
        <v>805</v>
      </c>
      <c r="D69" s="528" t="s">
        <v>775</v>
      </c>
      <c r="E69" s="526" t="s">
        <v>806</v>
      </c>
      <c r="F69" s="532" t="s">
        <v>807</v>
      </c>
    </row>
    <row r="70" spans="3:6" ht="24" hidden="1">
      <c r="C70" s="534" t="s">
        <v>808</v>
      </c>
      <c r="D70" s="535" t="s">
        <v>775</v>
      </c>
      <c r="E70" s="536" t="s">
        <v>809</v>
      </c>
      <c r="F70" s="537" t="s">
        <v>807</v>
      </c>
    </row>
    <row r="71" spans="3:6" hidden="1"/>
  </sheetData>
  <sheetProtection algorithmName="SHA-512" hashValue="w2DItYiMrwN7fjfKvKTTt2Csq4u9CQFbln2OuB74wOtXiSrcO5UDjQQiaLxZv/3mpjGqEKVyv3yegiFfaB9xJA==" saltValue="T65Nwe+RSIkbOT/jGc8cVA==" spinCount="100000" sheet="1"/>
  <mergeCells count="85">
    <mergeCell ref="F57:F58"/>
    <mergeCell ref="C60:C61"/>
    <mergeCell ref="D60:D61"/>
    <mergeCell ref="F60:F61"/>
    <mergeCell ref="C51:C53"/>
    <mergeCell ref="D51:D53"/>
    <mergeCell ref="E51:E53"/>
    <mergeCell ref="F51:F53"/>
    <mergeCell ref="C54:C56"/>
    <mergeCell ref="D54:D56"/>
    <mergeCell ref="E54:E56"/>
    <mergeCell ref="F54:F56"/>
    <mergeCell ref="C62:C63"/>
    <mergeCell ref="D62:D63"/>
    <mergeCell ref="C64:C65"/>
    <mergeCell ref="D64:D65"/>
    <mergeCell ref="C57:C59"/>
    <mergeCell ref="D57:D59"/>
    <mergeCell ref="C46:C49"/>
    <mergeCell ref="D46:D49"/>
    <mergeCell ref="F46:F47"/>
    <mergeCell ref="F48:F49"/>
    <mergeCell ref="C33:C35"/>
    <mergeCell ref="D33:D35"/>
    <mergeCell ref="F33:F34"/>
    <mergeCell ref="C36:C40"/>
    <mergeCell ref="D36:D40"/>
    <mergeCell ref="F36:F37"/>
    <mergeCell ref="F38:F40"/>
    <mergeCell ref="C41:C45"/>
    <mergeCell ref="D41:D45"/>
    <mergeCell ref="E41:E42"/>
    <mergeCell ref="F41:F42"/>
    <mergeCell ref="F43:F45"/>
    <mergeCell ref="C27:C29"/>
    <mergeCell ref="D27:D29"/>
    <mergeCell ref="F27:F28"/>
    <mergeCell ref="C30:C32"/>
    <mergeCell ref="D30:D32"/>
    <mergeCell ref="F30:F31"/>
    <mergeCell ref="AZ7:AZ9"/>
    <mergeCell ref="BA7:BA9"/>
    <mergeCell ref="AV7:AV9"/>
    <mergeCell ref="AW7:AW9"/>
    <mergeCell ref="AX7:AX9"/>
    <mergeCell ref="AY7:AY9"/>
    <mergeCell ref="AU7:AU9"/>
    <mergeCell ref="AR7:AR9"/>
    <mergeCell ref="AS7:AS9"/>
    <mergeCell ref="AM7:AM9"/>
    <mergeCell ref="AP7:AP9"/>
    <mergeCell ref="AQ7:AQ9"/>
    <mergeCell ref="AN7:AN9"/>
    <mergeCell ref="AK7:AK9"/>
    <mergeCell ref="S7:S9"/>
    <mergeCell ref="AT7:AT9"/>
    <mergeCell ref="AL7:AL9"/>
    <mergeCell ref="AD7:AD9"/>
    <mergeCell ref="AE7:AE9"/>
    <mergeCell ref="AF7:AF9"/>
    <mergeCell ref="AG7:AG9"/>
    <mergeCell ref="AH7:AH9"/>
    <mergeCell ref="AB7:AB9"/>
    <mergeCell ref="AC7:AC9"/>
    <mergeCell ref="AO7:AO9"/>
    <mergeCell ref="AA7:AA9"/>
    <mergeCell ref="X7:X9"/>
    <mergeCell ref="Y7:Y9"/>
    <mergeCell ref="Z7:Z9"/>
    <mergeCell ref="AI7:AI9"/>
    <mergeCell ref="AJ7:AJ9"/>
    <mergeCell ref="E6:H6"/>
    <mergeCell ref="B7:B9"/>
    <mergeCell ref="C7:C9"/>
    <mergeCell ref="E7:E9"/>
    <mergeCell ref="F7:F9"/>
    <mergeCell ref="G7:G9"/>
    <mergeCell ref="H7:H9"/>
    <mergeCell ref="J7:J9"/>
    <mergeCell ref="K7:K9"/>
    <mergeCell ref="L7:L9"/>
    <mergeCell ref="N7:N9"/>
    <mergeCell ref="R7:R9"/>
    <mergeCell ref="P7:P9"/>
    <mergeCell ref="Q7:Q9"/>
  </mergeCells>
  <conditionalFormatting sqref="AS11:AS16">
    <cfRule type="expression" dxfId="4" priority="10" stopIfTrue="1">
      <formula>IF($AV11&lt;0, TRUE, FALSE)</formula>
    </cfRule>
  </conditionalFormatting>
  <conditionalFormatting sqref="AS13:AV16">
    <cfRule type="expression" dxfId="3" priority="11" stopIfTrue="1">
      <formula>IF($AY13="No", TRUE, FALSE)</formula>
    </cfRule>
  </conditionalFormatting>
  <conditionalFormatting sqref="AS11:BA12 AV13:BA16">
    <cfRule type="expression" dxfId="2" priority="51" stopIfTrue="1">
      <formula>IF($AY11="No", TRUE, FALSE)</formula>
    </cfRule>
  </conditionalFormatting>
  <conditionalFormatting sqref="AV11:BA16">
    <cfRule type="expression" dxfId="1" priority="50" stopIfTrue="1">
      <formula>IF($AV11&lt;0, TRUE, FALSE)</formula>
    </cfRule>
  </conditionalFormatting>
  <conditionalFormatting sqref="AX13:AY16">
    <cfRule type="expression" dxfId="0" priority="1" stopIfTrue="1">
      <formula>IF($AY13="No", TRUE, FALSE)</formula>
    </cfRule>
  </conditionalFormatting>
  <dataValidations count="6">
    <dataValidation type="list" allowBlank="1" showInputMessage="1" showErrorMessage="1" sqref="F11:F16" xr:uid="{D4FD0772-E653-4AE4-90F7-C15967D96464}">
      <formula1>Facility_Types</formula1>
    </dataValidation>
    <dataValidation type="list" allowBlank="1" showInputMessage="1" showErrorMessage="1" sqref="G11:G16" xr:uid="{A1D6019A-31CE-4AC0-BF26-7D04F9F909D4}">
      <formula1>Zip_Code</formula1>
    </dataValidation>
    <dataValidation type="list" allowBlank="1" showInputMessage="1" showErrorMessage="1" sqref="I11:I16" xr:uid="{7AF94176-6AF1-4DD6-B7AE-A745622D2E5A}">
      <formula1>$C$22:$C$24</formula1>
    </dataValidation>
    <dataValidation type="list" allowBlank="1" showInputMessage="1" showErrorMessage="1" sqref="M11:M16" xr:uid="{7505C2B1-739F-4F9F-93A2-AB7F3F1FC1F8}">
      <formula1>$H$42:$H$44</formula1>
    </dataValidation>
    <dataValidation type="list" allowBlank="1" showInputMessage="1" showErrorMessage="1" sqref="O11:O16" xr:uid="{763F2910-30B5-4291-97C2-B52FBBD12FC8}">
      <formula1>$H$37:$H$39</formula1>
    </dataValidation>
    <dataValidation type="list" allowBlank="1" showInputMessage="1" showErrorMessage="1" sqref="E11:E16" xr:uid="{CFFE5917-916F-4463-86CE-B569A5E9402B}">
      <formula1>$M$36:$M$39</formula1>
    </dataValidation>
  </dataValidations>
  <pageMargins left="0.7" right="0.7" top="0.75" bottom="0.75" header="0.3" footer="0.3"/>
  <pageSetup orientation="portrait" horizontalDpi="1200" verticalDpi="1200"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theme="5" tint="-0.249977111117893"/>
  </sheetPr>
  <dimension ref="A1:BD2226"/>
  <sheetViews>
    <sheetView workbookViewId="0">
      <selection sqref="A1:H1"/>
    </sheetView>
  </sheetViews>
  <sheetFormatPr defaultColWidth="9.140625" defaultRowHeight="12.75"/>
  <cols>
    <col min="1" max="1" width="9.140625" style="60"/>
    <col min="2" max="2" width="10" style="61" customWidth="1"/>
    <col min="3" max="3" width="13.5703125" style="61" customWidth="1"/>
    <col min="4" max="4" width="3.28515625" style="60" customWidth="1"/>
    <col min="5" max="5" width="16.7109375" style="60" bestFit="1" customWidth="1"/>
    <col min="6" max="6" width="6.5703125" style="60" customWidth="1"/>
    <col min="7" max="7" width="25.140625" style="60" customWidth="1"/>
    <col min="8" max="8" width="13" style="60" customWidth="1"/>
    <col min="9" max="14" width="11" style="60" customWidth="1"/>
    <col min="15" max="15" width="9.140625" style="60"/>
    <col min="16" max="16" width="11" style="60" bestFit="1" customWidth="1"/>
    <col min="17" max="17" width="11" style="60" customWidth="1"/>
    <col min="18" max="18" width="24.7109375" style="60" customWidth="1"/>
    <col min="19" max="25" width="11" style="60" customWidth="1"/>
    <col min="26" max="26" width="9.140625" style="60"/>
    <col min="27" max="27" width="32.42578125" style="60" customWidth="1"/>
    <col min="28" max="28" width="10.85546875" style="60" customWidth="1"/>
    <col min="29" max="29" width="24.42578125" style="60" customWidth="1"/>
    <col min="30" max="36" width="10.85546875" style="60" customWidth="1"/>
    <col min="37" max="37" width="9.140625" style="60"/>
    <col min="38" max="38" width="11" style="60" bestFit="1" customWidth="1"/>
    <col min="39" max="39" width="23.7109375" style="60" customWidth="1"/>
    <col min="40" max="54" width="16" style="60" customWidth="1"/>
    <col min="55" max="57" width="9.140625" style="60"/>
    <col min="58" max="58" width="21.7109375" style="60" bestFit="1" customWidth="1"/>
    <col min="59" max="59" width="41.140625" style="60" bestFit="1" customWidth="1"/>
    <col min="60" max="16384" width="9.140625" style="60"/>
  </cols>
  <sheetData>
    <row r="1" spans="1:49" ht="15">
      <c r="A1" s="829" t="s">
        <v>810</v>
      </c>
      <c r="B1" s="829"/>
      <c r="C1" s="829"/>
      <c r="D1" s="829"/>
      <c r="E1" s="829"/>
      <c r="F1" s="829"/>
      <c r="G1" s="829"/>
      <c r="H1" s="829"/>
    </row>
    <row r="2" spans="1:49">
      <c r="A2" s="830" t="s">
        <v>811</v>
      </c>
      <c r="B2" s="830"/>
      <c r="C2" s="61">
        <v>5</v>
      </c>
    </row>
    <row r="3" spans="1:49" ht="13.5" thickBot="1"/>
    <row r="4" spans="1:49" ht="15.75">
      <c r="B4" s="476" t="s">
        <v>812</v>
      </c>
      <c r="C4" s="476" t="s">
        <v>690</v>
      </c>
      <c r="E4" s="26" t="s">
        <v>813</v>
      </c>
      <c r="G4" s="331" t="s">
        <v>814</v>
      </c>
      <c r="H4" s="332"/>
      <c r="I4" s="332"/>
      <c r="J4" s="332"/>
      <c r="K4" s="332"/>
      <c r="L4" s="332"/>
      <c r="M4" s="332"/>
      <c r="N4" s="332"/>
      <c r="O4" s="332"/>
      <c r="P4" s="333"/>
      <c r="R4" s="331" t="s">
        <v>815</v>
      </c>
      <c r="S4" s="332"/>
      <c r="T4" s="332"/>
      <c r="U4" s="332"/>
      <c r="V4" s="332"/>
      <c r="W4" s="332"/>
      <c r="X4" s="332"/>
      <c r="Y4" s="332"/>
      <c r="Z4" s="332"/>
      <c r="AA4" s="333"/>
      <c r="AC4" s="331" t="s">
        <v>816</v>
      </c>
      <c r="AD4" s="332"/>
      <c r="AE4" s="332"/>
      <c r="AF4" s="332"/>
      <c r="AG4" s="332"/>
      <c r="AH4" s="332"/>
      <c r="AI4" s="332"/>
      <c r="AJ4" s="332"/>
      <c r="AK4" s="332"/>
      <c r="AL4" s="333"/>
      <c r="AN4" s="705" t="s">
        <v>95</v>
      </c>
      <c r="AO4" s="706"/>
      <c r="AP4" s="706"/>
      <c r="AQ4" s="706"/>
      <c r="AR4" s="706"/>
      <c r="AS4" s="706"/>
      <c r="AT4" s="706"/>
      <c r="AU4" s="706"/>
      <c r="AV4" s="706"/>
      <c r="AW4" s="707"/>
    </row>
    <row r="5" spans="1:49" ht="15.75" thickBot="1">
      <c r="B5" s="1">
        <v>15001</v>
      </c>
      <c r="C5" s="1" t="s">
        <v>653</v>
      </c>
      <c r="E5" s="84" t="s">
        <v>382</v>
      </c>
      <c r="G5" s="334" t="s">
        <v>614</v>
      </c>
      <c r="H5" s="335" t="s">
        <v>647</v>
      </c>
      <c r="I5" s="335" t="s">
        <v>648</v>
      </c>
      <c r="J5" s="335" t="s">
        <v>649</v>
      </c>
      <c r="K5" s="335" t="s">
        <v>650</v>
      </c>
      <c r="L5" s="335" t="s">
        <v>651</v>
      </c>
      <c r="M5" s="335" t="s">
        <v>652</v>
      </c>
      <c r="N5" s="335" t="s">
        <v>653</v>
      </c>
      <c r="O5" s="335" t="s">
        <v>654</v>
      </c>
      <c r="P5" s="336" t="s">
        <v>655</v>
      </c>
      <c r="R5" s="62" t="s">
        <v>614</v>
      </c>
      <c r="S5" s="63" t="s">
        <v>647</v>
      </c>
      <c r="T5" s="63" t="s">
        <v>648</v>
      </c>
      <c r="U5" s="63" t="s">
        <v>649</v>
      </c>
      <c r="V5" s="63" t="s">
        <v>650</v>
      </c>
      <c r="W5" s="63" t="s">
        <v>651</v>
      </c>
      <c r="X5" s="63" t="s">
        <v>652</v>
      </c>
      <c r="Y5" s="63" t="s">
        <v>653</v>
      </c>
      <c r="Z5" s="63" t="s">
        <v>654</v>
      </c>
      <c r="AA5" s="64" t="s">
        <v>655</v>
      </c>
      <c r="AC5" s="62" t="s">
        <v>614</v>
      </c>
      <c r="AD5" s="63" t="s">
        <v>647</v>
      </c>
      <c r="AE5" s="63" t="s">
        <v>648</v>
      </c>
      <c r="AF5" s="63" t="s">
        <v>649</v>
      </c>
      <c r="AG5" s="63" t="s">
        <v>650</v>
      </c>
      <c r="AH5" s="63" t="s">
        <v>651</v>
      </c>
      <c r="AI5" s="63" t="s">
        <v>652</v>
      </c>
      <c r="AJ5" s="63" t="s">
        <v>653</v>
      </c>
      <c r="AK5" s="63" t="s">
        <v>654</v>
      </c>
      <c r="AL5" s="64" t="s">
        <v>655</v>
      </c>
      <c r="AN5" s="90"/>
      <c r="AO5" s="91"/>
      <c r="AP5" s="708" t="s">
        <v>817</v>
      </c>
      <c r="AQ5" s="708"/>
      <c r="AR5" s="708"/>
      <c r="AS5" s="708"/>
      <c r="AT5" s="709" t="s">
        <v>98</v>
      </c>
      <c r="AU5" s="710"/>
      <c r="AV5" s="710"/>
      <c r="AW5" s="711"/>
    </row>
    <row r="6" spans="1:49" ht="24">
      <c r="B6" s="1">
        <v>15003</v>
      </c>
      <c r="C6" s="1" t="s">
        <v>653</v>
      </c>
      <c r="E6" s="84" t="s">
        <v>238</v>
      </c>
      <c r="G6" s="362" t="s">
        <v>363</v>
      </c>
      <c r="H6" s="338">
        <v>640</v>
      </c>
      <c r="I6" s="338">
        <v>440</v>
      </c>
      <c r="J6" s="338">
        <v>369</v>
      </c>
      <c r="K6" s="338">
        <v>478</v>
      </c>
      <c r="L6" s="338">
        <v>657</v>
      </c>
      <c r="M6" s="338">
        <v>734</v>
      </c>
      <c r="N6" s="338">
        <v>594</v>
      </c>
      <c r="O6" s="338">
        <v>533</v>
      </c>
      <c r="P6" s="338">
        <v>595</v>
      </c>
      <c r="R6" s="363" t="s">
        <v>363</v>
      </c>
      <c r="S6" s="364">
        <v>719</v>
      </c>
      <c r="T6" s="364">
        <v>984</v>
      </c>
      <c r="U6" s="364">
        <v>1078</v>
      </c>
      <c r="V6" s="364">
        <v>857</v>
      </c>
      <c r="W6" s="364">
        <v>552</v>
      </c>
      <c r="X6" s="364">
        <v>464</v>
      </c>
      <c r="Y6" s="364">
        <v>651</v>
      </c>
      <c r="Z6" s="364">
        <v>824</v>
      </c>
      <c r="AA6" s="365">
        <v>655</v>
      </c>
      <c r="AC6" s="363" t="s">
        <v>363</v>
      </c>
      <c r="AD6" s="364">
        <v>0.48</v>
      </c>
      <c r="AE6" s="364">
        <v>0.4</v>
      </c>
      <c r="AF6" s="364">
        <v>0.37</v>
      </c>
      <c r="AG6" s="364">
        <v>0.38</v>
      </c>
      <c r="AH6" s="364">
        <v>0.48</v>
      </c>
      <c r="AI6" s="364">
        <v>0.51</v>
      </c>
      <c r="AJ6" s="364">
        <v>0.48</v>
      </c>
      <c r="AK6" s="364">
        <v>0.45</v>
      </c>
      <c r="AL6" s="365">
        <v>0.49</v>
      </c>
      <c r="AN6" s="90"/>
      <c r="AO6" s="91"/>
      <c r="AP6" s="703" t="s">
        <v>100</v>
      </c>
      <c r="AQ6" s="703"/>
      <c r="AR6" s="703" t="s">
        <v>101</v>
      </c>
      <c r="AS6" s="703"/>
      <c r="AT6" s="703" t="s">
        <v>100</v>
      </c>
      <c r="AU6" s="703"/>
      <c r="AV6" s="703" t="s">
        <v>101</v>
      </c>
      <c r="AW6" s="704"/>
    </row>
    <row r="7" spans="1:49" ht="15">
      <c r="B7" s="1">
        <v>15004</v>
      </c>
      <c r="C7" s="1" t="s">
        <v>653</v>
      </c>
      <c r="G7" s="362" t="s">
        <v>239</v>
      </c>
      <c r="H7" s="338">
        <v>267</v>
      </c>
      <c r="I7" s="338">
        <v>163</v>
      </c>
      <c r="J7" s="338">
        <v>139</v>
      </c>
      <c r="K7" s="338">
        <v>185</v>
      </c>
      <c r="L7" s="338">
        <v>310</v>
      </c>
      <c r="M7" s="338">
        <v>345</v>
      </c>
      <c r="N7" s="338">
        <v>273</v>
      </c>
      <c r="O7" s="338">
        <v>217</v>
      </c>
      <c r="P7" s="338">
        <v>239</v>
      </c>
      <c r="R7" s="366" t="s">
        <v>239</v>
      </c>
      <c r="S7" s="338">
        <v>636</v>
      </c>
      <c r="T7" s="338">
        <v>910</v>
      </c>
      <c r="U7" s="338">
        <v>1018</v>
      </c>
      <c r="V7" s="338">
        <v>666</v>
      </c>
      <c r="W7" s="338">
        <v>741</v>
      </c>
      <c r="X7" s="338">
        <v>646</v>
      </c>
      <c r="Y7" s="338">
        <v>884</v>
      </c>
      <c r="Z7" s="338">
        <v>925</v>
      </c>
      <c r="AA7" s="346">
        <v>655</v>
      </c>
      <c r="AC7" s="366" t="s">
        <v>239</v>
      </c>
      <c r="AD7" s="338">
        <v>0.12</v>
      </c>
      <c r="AE7" s="338">
        <v>0.09</v>
      </c>
      <c r="AF7" s="338">
        <v>7.0000000000000007E-2</v>
      </c>
      <c r="AG7" s="338">
        <v>0.09</v>
      </c>
      <c r="AH7" s="338">
        <v>0.18</v>
      </c>
      <c r="AI7" s="338">
        <v>0.19</v>
      </c>
      <c r="AJ7" s="338">
        <v>0.18</v>
      </c>
      <c r="AK7" s="338">
        <v>0.13</v>
      </c>
      <c r="AL7" s="346">
        <v>0.15</v>
      </c>
      <c r="AN7" s="106" t="s">
        <v>103</v>
      </c>
      <c r="AO7" s="107" t="s">
        <v>104</v>
      </c>
      <c r="AP7" s="454" t="s">
        <v>102</v>
      </c>
      <c r="AQ7" s="454" t="s">
        <v>105</v>
      </c>
      <c r="AR7" s="454" t="s">
        <v>102</v>
      </c>
      <c r="AS7" s="454" t="s">
        <v>105</v>
      </c>
      <c r="AT7" s="454" t="s">
        <v>102</v>
      </c>
      <c r="AU7" s="454" t="s">
        <v>105</v>
      </c>
      <c r="AV7" s="454" t="s">
        <v>102</v>
      </c>
      <c r="AW7" s="455" t="s">
        <v>105</v>
      </c>
    </row>
    <row r="8" spans="1:49" ht="15">
      <c r="B8" s="1">
        <v>15005</v>
      </c>
      <c r="C8" s="1" t="s">
        <v>653</v>
      </c>
      <c r="G8" s="362" t="s">
        <v>517</v>
      </c>
      <c r="H8" s="338">
        <v>654</v>
      </c>
      <c r="I8" s="338">
        <v>542</v>
      </c>
      <c r="J8" s="338">
        <v>542</v>
      </c>
      <c r="K8" s="338">
        <v>636</v>
      </c>
      <c r="L8" s="338">
        <v>453</v>
      </c>
      <c r="M8" s="338">
        <v>536</v>
      </c>
      <c r="N8" s="338">
        <v>638</v>
      </c>
      <c r="O8" s="338">
        <v>434</v>
      </c>
      <c r="P8" s="338">
        <v>442</v>
      </c>
      <c r="R8" s="366" t="s">
        <v>517</v>
      </c>
      <c r="S8" s="338">
        <v>733</v>
      </c>
      <c r="T8" s="338">
        <v>1068</v>
      </c>
      <c r="U8" s="338">
        <v>1068</v>
      </c>
      <c r="V8" s="338">
        <v>534</v>
      </c>
      <c r="W8" s="338">
        <v>1269</v>
      </c>
      <c r="X8" s="338">
        <v>1217</v>
      </c>
      <c r="Y8" s="338">
        <v>564</v>
      </c>
      <c r="Z8" s="338">
        <v>1737</v>
      </c>
      <c r="AA8" s="346">
        <v>1419</v>
      </c>
      <c r="AC8" s="366" t="s">
        <v>517</v>
      </c>
      <c r="AD8" s="338">
        <v>0.33</v>
      </c>
      <c r="AE8" s="338">
        <v>0.26</v>
      </c>
      <c r="AF8" s="338">
        <v>0.26</v>
      </c>
      <c r="AG8" s="338">
        <v>0.27</v>
      </c>
      <c r="AH8" s="338">
        <v>0.24</v>
      </c>
      <c r="AI8" s="338">
        <v>0.26</v>
      </c>
      <c r="AJ8" s="338">
        <v>0.27</v>
      </c>
      <c r="AK8" s="338">
        <v>0.21</v>
      </c>
      <c r="AL8" s="346">
        <v>0.24</v>
      </c>
      <c r="AN8" s="93" t="s">
        <v>146</v>
      </c>
      <c r="AO8" s="87" t="s">
        <v>147</v>
      </c>
      <c r="AP8" s="100">
        <v>0.78</v>
      </c>
      <c r="AQ8" s="100">
        <v>0.63</v>
      </c>
      <c r="AR8" s="100">
        <v>0.8</v>
      </c>
      <c r="AS8" s="100">
        <v>0.6</v>
      </c>
      <c r="AT8" s="100">
        <v>0.70200000000000007</v>
      </c>
      <c r="AU8" s="100">
        <v>0.56700000000000006</v>
      </c>
      <c r="AV8" s="100">
        <v>0.72000000000000008</v>
      </c>
      <c r="AW8" s="101">
        <v>0.54</v>
      </c>
    </row>
    <row r="9" spans="1:49" ht="15">
      <c r="B9" s="1">
        <v>15006</v>
      </c>
      <c r="C9" s="1" t="s">
        <v>653</v>
      </c>
      <c r="G9" s="362" t="s">
        <v>670</v>
      </c>
      <c r="H9" s="340">
        <v>1030</v>
      </c>
      <c r="I9" s="338">
        <v>977</v>
      </c>
      <c r="J9" s="338">
        <v>977</v>
      </c>
      <c r="K9" s="340">
        <v>1038</v>
      </c>
      <c r="L9" s="338">
        <v>892</v>
      </c>
      <c r="M9" s="340">
        <v>1059</v>
      </c>
      <c r="N9" s="338">
        <v>788</v>
      </c>
      <c r="O9" s="340">
        <v>1022</v>
      </c>
      <c r="P9" s="340">
        <v>1013</v>
      </c>
      <c r="R9" s="366" t="s">
        <v>670</v>
      </c>
      <c r="S9" s="338">
        <v>147</v>
      </c>
      <c r="T9" s="338">
        <v>81</v>
      </c>
      <c r="U9" s="338">
        <v>71</v>
      </c>
      <c r="V9" s="338">
        <v>95</v>
      </c>
      <c r="W9" s="338">
        <v>361</v>
      </c>
      <c r="X9" s="338">
        <v>345</v>
      </c>
      <c r="Y9" s="338">
        <v>418</v>
      </c>
      <c r="Z9" s="338">
        <v>106</v>
      </c>
      <c r="AA9" s="346">
        <v>154</v>
      </c>
      <c r="AC9" s="366" t="s">
        <v>670</v>
      </c>
      <c r="AD9" s="338">
        <v>0.43</v>
      </c>
      <c r="AE9" s="338">
        <v>0.36</v>
      </c>
      <c r="AF9" s="338">
        <v>0.34</v>
      </c>
      <c r="AG9" s="338">
        <v>0.37</v>
      </c>
      <c r="AH9" s="338">
        <v>0.39</v>
      </c>
      <c r="AI9" s="338">
        <v>0.44</v>
      </c>
      <c r="AJ9" s="338">
        <v>0.39</v>
      </c>
      <c r="AK9" s="338">
        <v>0.37</v>
      </c>
      <c r="AL9" s="346">
        <v>0.42</v>
      </c>
      <c r="AN9" s="93" t="s">
        <v>146</v>
      </c>
      <c r="AO9" s="87" t="s">
        <v>151</v>
      </c>
      <c r="AP9" s="100">
        <v>0.77500000000000002</v>
      </c>
      <c r="AQ9" s="100">
        <v>0.61499999999999999</v>
      </c>
      <c r="AR9" s="100">
        <v>0.79</v>
      </c>
      <c r="AS9" s="100">
        <v>0.58599999999999997</v>
      </c>
      <c r="AT9" s="100">
        <v>0.69750000000000001</v>
      </c>
      <c r="AU9" s="100">
        <v>0.55349999999999999</v>
      </c>
      <c r="AV9" s="100">
        <v>0.71100000000000008</v>
      </c>
      <c r="AW9" s="101">
        <v>0.52739999999999998</v>
      </c>
    </row>
    <row r="10" spans="1:49" ht="15">
      <c r="B10" s="1">
        <v>15007</v>
      </c>
      <c r="C10" s="1" t="s">
        <v>653</v>
      </c>
      <c r="G10" s="362" t="s">
        <v>673</v>
      </c>
      <c r="H10" s="338">
        <v>477</v>
      </c>
      <c r="I10" s="338">
        <v>397</v>
      </c>
      <c r="J10" s="338">
        <v>350</v>
      </c>
      <c r="K10" s="338">
        <v>481</v>
      </c>
      <c r="L10" s="338">
        <v>540</v>
      </c>
      <c r="M10" s="338">
        <v>684</v>
      </c>
      <c r="N10" s="338">
        <v>511</v>
      </c>
      <c r="O10" s="338">
        <v>467</v>
      </c>
      <c r="P10" s="338">
        <v>476</v>
      </c>
      <c r="R10" s="366" t="s">
        <v>673</v>
      </c>
      <c r="S10" s="338">
        <v>944</v>
      </c>
      <c r="T10" s="338">
        <v>1432</v>
      </c>
      <c r="U10" s="338">
        <v>1630</v>
      </c>
      <c r="V10" s="338">
        <v>1304</v>
      </c>
      <c r="W10" s="338">
        <v>854</v>
      </c>
      <c r="X10" s="338">
        <v>805</v>
      </c>
      <c r="Y10" s="338">
        <v>1023</v>
      </c>
      <c r="Z10" s="338">
        <v>1193</v>
      </c>
      <c r="AA10" s="346">
        <v>958</v>
      </c>
      <c r="AC10" s="366" t="s">
        <v>673</v>
      </c>
      <c r="AD10" s="338">
        <v>0.26</v>
      </c>
      <c r="AE10" s="338">
        <v>0.25</v>
      </c>
      <c r="AF10" s="338">
        <v>0.23</v>
      </c>
      <c r="AG10" s="338">
        <v>0.27</v>
      </c>
      <c r="AH10" s="338">
        <v>0.3</v>
      </c>
      <c r="AI10" s="338">
        <v>0.34</v>
      </c>
      <c r="AJ10" s="338">
        <v>0.32</v>
      </c>
      <c r="AK10" s="338">
        <v>0.28000000000000003</v>
      </c>
      <c r="AL10" s="346">
        <v>0.28999999999999998</v>
      </c>
      <c r="AN10" s="93" t="s">
        <v>146</v>
      </c>
      <c r="AO10" s="87" t="s">
        <v>154</v>
      </c>
      <c r="AP10" s="100">
        <v>0.68</v>
      </c>
      <c r="AQ10" s="100">
        <v>0.57999999999999996</v>
      </c>
      <c r="AR10" s="100">
        <v>0.71799999999999997</v>
      </c>
      <c r="AS10" s="100">
        <v>0.54</v>
      </c>
      <c r="AT10" s="100">
        <v>0.6120000000000001</v>
      </c>
      <c r="AU10" s="100">
        <v>0.52200000000000002</v>
      </c>
      <c r="AV10" s="100">
        <v>0.6462</v>
      </c>
      <c r="AW10" s="101">
        <v>0.48600000000000004</v>
      </c>
    </row>
    <row r="11" spans="1:49" ht="15">
      <c r="B11" s="1">
        <v>15009</v>
      </c>
      <c r="C11" s="1" t="s">
        <v>653</v>
      </c>
      <c r="G11" s="362" t="s">
        <v>676</v>
      </c>
      <c r="H11" s="338">
        <v>570</v>
      </c>
      <c r="I11" s="338">
        <v>361</v>
      </c>
      <c r="J11" s="338">
        <v>309</v>
      </c>
      <c r="K11" s="338">
        <v>411</v>
      </c>
      <c r="L11" s="338">
        <v>616</v>
      </c>
      <c r="M11" s="338">
        <v>682</v>
      </c>
      <c r="N11" s="338">
        <v>530</v>
      </c>
      <c r="O11" s="338">
        <v>445</v>
      </c>
      <c r="P11" s="338">
        <v>478</v>
      </c>
      <c r="R11" s="366" t="s">
        <v>676</v>
      </c>
      <c r="S11" s="338">
        <v>406</v>
      </c>
      <c r="T11" s="338">
        <v>500</v>
      </c>
      <c r="U11" s="338">
        <v>568</v>
      </c>
      <c r="V11" s="338">
        <v>473</v>
      </c>
      <c r="W11" s="338">
        <v>374</v>
      </c>
      <c r="X11" s="338">
        <v>339</v>
      </c>
      <c r="Y11" s="338">
        <v>400</v>
      </c>
      <c r="Z11" s="338">
        <v>441</v>
      </c>
      <c r="AA11" s="346">
        <v>346</v>
      </c>
      <c r="AC11" s="366" t="s">
        <v>676</v>
      </c>
      <c r="AD11" s="338">
        <v>0.51</v>
      </c>
      <c r="AE11" s="338">
        <v>0.37</v>
      </c>
      <c r="AF11" s="338">
        <v>0.33</v>
      </c>
      <c r="AG11" s="338">
        <v>0.39</v>
      </c>
      <c r="AH11" s="338">
        <v>0.55000000000000004</v>
      </c>
      <c r="AI11" s="338">
        <v>0.6</v>
      </c>
      <c r="AJ11" s="338">
        <v>0.53</v>
      </c>
      <c r="AK11" s="338">
        <v>0.45</v>
      </c>
      <c r="AL11" s="346">
        <v>0.48</v>
      </c>
      <c r="AN11" s="93" t="s">
        <v>146</v>
      </c>
      <c r="AO11" s="87" t="s">
        <v>818</v>
      </c>
      <c r="AP11" s="100">
        <v>0.62</v>
      </c>
      <c r="AQ11" s="100">
        <v>0.54</v>
      </c>
      <c r="AR11" s="100">
        <v>0.63900000000000001</v>
      </c>
      <c r="AS11" s="100">
        <v>0.49</v>
      </c>
      <c r="AT11" s="100">
        <v>0.55800000000000005</v>
      </c>
      <c r="AU11" s="100">
        <v>0.48600000000000004</v>
      </c>
      <c r="AV11" s="100">
        <v>0.57510000000000006</v>
      </c>
      <c r="AW11" s="101">
        <v>0.441</v>
      </c>
    </row>
    <row r="12" spans="1:49" ht="15">
      <c r="B12" s="1">
        <v>15010</v>
      </c>
      <c r="C12" s="1" t="s">
        <v>653</v>
      </c>
      <c r="G12" s="362" t="s">
        <v>678</v>
      </c>
      <c r="H12" s="338">
        <v>753</v>
      </c>
      <c r="I12" s="338">
        <v>516</v>
      </c>
      <c r="J12" s="338">
        <v>455</v>
      </c>
      <c r="K12" s="338">
        <v>607</v>
      </c>
      <c r="L12" s="338">
        <v>820</v>
      </c>
      <c r="M12" s="340">
        <v>1087</v>
      </c>
      <c r="N12" s="338">
        <v>706</v>
      </c>
      <c r="O12" s="338">
        <v>629</v>
      </c>
      <c r="P12" s="338">
        <v>685</v>
      </c>
      <c r="R12" s="366" t="s">
        <v>678</v>
      </c>
      <c r="S12" s="338">
        <v>1178</v>
      </c>
      <c r="T12" s="338">
        <v>1489</v>
      </c>
      <c r="U12" s="338">
        <v>1719</v>
      </c>
      <c r="V12" s="338">
        <v>1437</v>
      </c>
      <c r="W12" s="338">
        <v>1098</v>
      </c>
      <c r="X12" s="338">
        <v>1121</v>
      </c>
      <c r="Y12" s="338">
        <v>1163</v>
      </c>
      <c r="Z12" s="338">
        <v>1401</v>
      </c>
      <c r="AA12" s="346">
        <v>1066</v>
      </c>
      <c r="AC12" s="366" t="s">
        <v>678</v>
      </c>
      <c r="AD12" s="338">
        <v>0.53</v>
      </c>
      <c r="AE12" s="338">
        <v>0.38</v>
      </c>
      <c r="AF12" s="338">
        <v>0.34</v>
      </c>
      <c r="AG12" s="338">
        <v>0.45</v>
      </c>
      <c r="AH12" s="338">
        <v>0.6</v>
      </c>
      <c r="AI12" s="338">
        <v>0.72</v>
      </c>
      <c r="AJ12" s="338">
        <v>0.56000000000000005</v>
      </c>
      <c r="AK12" s="338">
        <v>0.48</v>
      </c>
      <c r="AL12" s="346">
        <v>0.52</v>
      </c>
      <c r="AN12" s="93" t="s">
        <v>163</v>
      </c>
      <c r="AO12" s="87" t="s">
        <v>107</v>
      </c>
      <c r="AP12" s="100">
        <v>0.63400000000000001</v>
      </c>
      <c r="AQ12" s="100">
        <v>0.59599999999999997</v>
      </c>
      <c r="AR12" s="100">
        <v>0.63900000000000001</v>
      </c>
      <c r="AS12" s="100">
        <v>0.45</v>
      </c>
      <c r="AT12" s="100">
        <v>0.5706</v>
      </c>
      <c r="AU12" s="100">
        <v>0.53639999999999999</v>
      </c>
      <c r="AV12" s="100">
        <v>0.57510000000000006</v>
      </c>
      <c r="AW12" s="101">
        <v>0.40500000000000003</v>
      </c>
    </row>
    <row r="13" spans="1:49" ht="15">
      <c r="B13" s="1">
        <v>15012</v>
      </c>
      <c r="C13" s="1" t="s">
        <v>653</v>
      </c>
      <c r="G13" s="362" t="s">
        <v>680</v>
      </c>
      <c r="H13" s="340">
        <v>1386</v>
      </c>
      <c r="I13" s="340">
        <v>1205</v>
      </c>
      <c r="J13" s="340">
        <v>1084</v>
      </c>
      <c r="K13" s="340">
        <v>1392</v>
      </c>
      <c r="L13" s="340">
        <v>1523</v>
      </c>
      <c r="M13" s="340">
        <v>1732</v>
      </c>
      <c r="N13" s="340">
        <v>1478</v>
      </c>
      <c r="O13" s="340">
        <v>1348</v>
      </c>
      <c r="P13" s="340">
        <v>1384</v>
      </c>
      <c r="R13" s="366" t="s">
        <v>680</v>
      </c>
      <c r="S13" s="338">
        <v>2371</v>
      </c>
      <c r="T13" s="338">
        <v>3219</v>
      </c>
      <c r="U13" s="338">
        <v>3846</v>
      </c>
      <c r="V13" s="338">
        <v>3077</v>
      </c>
      <c r="W13" s="338">
        <v>2159</v>
      </c>
      <c r="X13" s="338">
        <v>2017</v>
      </c>
      <c r="Y13" s="338">
        <v>2411</v>
      </c>
      <c r="Z13" s="338">
        <v>2591</v>
      </c>
      <c r="AA13" s="346">
        <v>2403</v>
      </c>
      <c r="AC13" s="366" t="s">
        <v>680</v>
      </c>
      <c r="AD13" s="338">
        <v>0.72</v>
      </c>
      <c r="AE13" s="338">
        <v>0.73</v>
      </c>
      <c r="AF13" s="338">
        <v>0.71</v>
      </c>
      <c r="AG13" s="338">
        <v>0.77</v>
      </c>
      <c r="AH13" s="338">
        <v>0.78</v>
      </c>
      <c r="AI13" s="338">
        <v>0.83</v>
      </c>
      <c r="AJ13" s="338">
        <v>0.83</v>
      </c>
      <c r="AK13" s="338">
        <v>0.73</v>
      </c>
      <c r="AL13" s="346">
        <v>0.78</v>
      </c>
      <c r="AN13" s="93" t="s">
        <v>163</v>
      </c>
      <c r="AO13" s="87" t="s">
        <v>154</v>
      </c>
      <c r="AP13" s="100">
        <v>0.63400000000000001</v>
      </c>
      <c r="AQ13" s="100">
        <v>0.59599999999999997</v>
      </c>
      <c r="AR13" s="100">
        <v>0.63900000000000001</v>
      </c>
      <c r="AS13" s="100">
        <v>0.45</v>
      </c>
      <c r="AT13" s="100">
        <v>0.5706</v>
      </c>
      <c r="AU13" s="100">
        <v>0.53639999999999999</v>
      </c>
      <c r="AV13" s="100">
        <v>0.57510000000000006</v>
      </c>
      <c r="AW13" s="101">
        <v>0.40500000000000003</v>
      </c>
    </row>
    <row r="14" spans="1:49" ht="15">
      <c r="B14" s="1">
        <v>15014</v>
      </c>
      <c r="C14" s="1" t="s">
        <v>653</v>
      </c>
      <c r="G14" s="362" t="s">
        <v>682</v>
      </c>
      <c r="H14" s="340">
        <v>1395</v>
      </c>
      <c r="I14" s="338">
        <v>654</v>
      </c>
      <c r="J14" s="338">
        <v>577</v>
      </c>
      <c r="K14" s="338">
        <v>769</v>
      </c>
      <c r="L14" s="340">
        <v>1482</v>
      </c>
      <c r="M14" s="340">
        <v>1647</v>
      </c>
      <c r="N14" s="340">
        <v>1176</v>
      </c>
      <c r="O14" s="338">
        <v>991</v>
      </c>
      <c r="P14" s="340">
        <v>1052</v>
      </c>
      <c r="R14" s="366" t="s">
        <v>682</v>
      </c>
      <c r="S14" s="338">
        <v>277</v>
      </c>
      <c r="T14" s="338">
        <v>320</v>
      </c>
      <c r="U14" s="338">
        <v>354</v>
      </c>
      <c r="V14" s="338">
        <v>322</v>
      </c>
      <c r="W14" s="338">
        <v>263</v>
      </c>
      <c r="X14" s="338">
        <v>259</v>
      </c>
      <c r="Y14" s="338">
        <v>264</v>
      </c>
      <c r="Z14" s="338">
        <v>281</v>
      </c>
      <c r="AA14" s="346">
        <v>278</v>
      </c>
      <c r="AC14" s="366" t="s">
        <v>682</v>
      </c>
      <c r="AD14" s="338">
        <v>0.48</v>
      </c>
      <c r="AE14" s="338">
        <v>0.48</v>
      </c>
      <c r="AF14" s="338">
        <v>0.48</v>
      </c>
      <c r="AG14" s="338">
        <v>0.48</v>
      </c>
      <c r="AH14" s="338">
        <v>0.48</v>
      </c>
      <c r="AI14" s="338">
        <v>0.48</v>
      </c>
      <c r="AJ14" s="338">
        <v>0.48</v>
      </c>
      <c r="AK14" s="338">
        <v>0.48</v>
      </c>
      <c r="AL14" s="346">
        <v>0.48</v>
      </c>
      <c r="AN14" s="93" t="s">
        <v>163</v>
      </c>
      <c r="AO14" s="87" t="s">
        <v>157</v>
      </c>
      <c r="AP14" s="100">
        <v>0.57599999999999996</v>
      </c>
      <c r="AQ14" s="100">
        <v>0.54900000000000004</v>
      </c>
      <c r="AR14" s="100">
        <v>0.6</v>
      </c>
      <c r="AS14" s="100">
        <v>0.4</v>
      </c>
      <c r="AT14" s="100">
        <v>0.51839999999999997</v>
      </c>
      <c r="AU14" s="100">
        <v>0.49410000000000004</v>
      </c>
      <c r="AV14" s="100">
        <v>0.54</v>
      </c>
      <c r="AW14" s="101">
        <v>0.36000000000000004</v>
      </c>
    </row>
    <row r="15" spans="1:49" ht="15.75" thickBot="1">
      <c r="B15" s="1">
        <v>15015</v>
      </c>
      <c r="C15" s="1" t="s">
        <v>653</v>
      </c>
      <c r="G15" s="362" t="s">
        <v>683</v>
      </c>
      <c r="H15" s="338">
        <v>458</v>
      </c>
      <c r="I15" s="338">
        <v>213</v>
      </c>
      <c r="J15" s="338">
        <v>323</v>
      </c>
      <c r="K15" s="338">
        <v>412</v>
      </c>
      <c r="L15" s="338">
        <v>565</v>
      </c>
      <c r="M15" s="338">
        <v>704</v>
      </c>
      <c r="N15" s="338">
        <v>721</v>
      </c>
      <c r="O15" s="338">
        <v>500</v>
      </c>
      <c r="P15" s="338">
        <v>466</v>
      </c>
      <c r="R15" s="366" t="s">
        <v>683</v>
      </c>
      <c r="S15" s="338">
        <v>321</v>
      </c>
      <c r="T15" s="338">
        <v>159</v>
      </c>
      <c r="U15" s="338">
        <v>527</v>
      </c>
      <c r="V15" s="338">
        <v>422</v>
      </c>
      <c r="W15" s="338">
        <v>330</v>
      </c>
      <c r="X15" s="338">
        <v>281</v>
      </c>
      <c r="Y15" s="338">
        <v>344</v>
      </c>
      <c r="Z15" s="338">
        <v>329</v>
      </c>
      <c r="AA15" s="346">
        <v>340</v>
      </c>
      <c r="AC15" s="366" t="s">
        <v>683</v>
      </c>
      <c r="AD15" s="338">
        <v>0.32</v>
      </c>
      <c r="AE15" s="338">
        <v>0.16</v>
      </c>
      <c r="AF15" s="338">
        <v>0.26</v>
      </c>
      <c r="AG15" s="338">
        <v>0.31</v>
      </c>
      <c r="AH15" s="338">
        <v>0.41</v>
      </c>
      <c r="AI15" s="338">
        <v>0.27</v>
      </c>
      <c r="AJ15" s="338">
        <v>0.35</v>
      </c>
      <c r="AK15" s="338">
        <v>0.36</v>
      </c>
      <c r="AL15" s="346">
        <v>0.37</v>
      </c>
      <c r="AN15" s="102" t="s">
        <v>163</v>
      </c>
      <c r="AO15" s="103" t="s">
        <v>161</v>
      </c>
      <c r="AP15" s="104">
        <v>0.56999999999999995</v>
      </c>
      <c r="AQ15" s="104">
        <v>0.53900000000000003</v>
      </c>
      <c r="AR15" s="104">
        <v>0.59</v>
      </c>
      <c r="AS15" s="104">
        <v>0.4</v>
      </c>
      <c r="AT15" s="104">
        <v>0.51300000000000001</v>
      </c>
      <c r="AU15" s="104">
        <v>0.48510000000000003</v>
      </c>
      <c r="AV15" s="104">
        <v>0.53100000000000003</v>
      </c>
      <c r="AW15" s="105">
        <v>0.36000000000000004</v>
      </c>
    </row>
    <row r="16" spans="1:49" ht="15">
      <c r="B16" s="1">
        <v>15017</v>
      </c>
      <c r="C16" s="1" t="s">
        <v>653</v>
      </c>
      <c r="G16" s="362" t="s">
        <v>684</v>
      </c>
      <c r="H16" s="338">
        <v>550</v>
      </c>
      <c r="I16" s="338">
        <v>429</v>
      </c>
      <c r="J16" s="338">
        <v>374</v>
      </c>
      <c r="K16" s="338">
        <v>513</v>
      </c>
      <c r="L16" s="338">
        <v>590</v>
      </c>
      <c r="M16" s="338">
        <v>791</v>
      </c>
      <c r="N16" s="338">
        <v>632</v>
      </c>
      <c r="O16" s="338">
        <v>522</v>
      </c>
      <c r="P16" s="338">
        <v>594</v>
      </c>
      <c r="R16" s="366" t="s">
        <v>684</v>
      </c>
      <c r="S16" s="338">
        <v>1151</v>
      </c>
      <c r="T16" s="338">
        <v>1865</v>
      </c>
      <c r="U16" s="338">
        <v>2109</v>
      </c>
      <c r="V16" s="338">
        <v>1687</v>
      </c>
      <c r="W16" s="338">
        <v>1040</v>
      </c>
      <c r="X16" s="338">
        <v>993</v>
      </c>
      <c r="Y16" s="338">
        <v>1340</v>
      </c>
      <c r="Z16" s="338">
        <v>1501</v>
      </c>
      <c r="AA16" s="346">
        <v>1241</v>
      </c>
      <c r="AC16" s="366" t="s">
        <v>684</v>
      </c>
      <c r="AD16" s="338">
        <v>0.38</v>
      </c>
      <c r="AE16" s="338">
        <v>0.36</v>
      </c>
      <c r="AF16" s="338">
        <v>0.33</v>
      </c>
      <c r="AG16" s="338">
        <v>0.37</v>
      </c>
      <c r="AH16" s="338">
        <v>0.42</v>
      </c>
      <c r="AI16" s="338">
        <v>0.5</v>
      </c>
      <c r="AJ16" s="338">
        <v>0.49</v>
      </c>
      <c r="AK16" s="338">
        <v>0.39</v>
      </c>
      <c r="AL16" s="346">
        <v>0.45</v>
      </c>
    </row>
    <row r="17" spans="2:47" ht="15.75" thickBot="1">
      <c r="B17" s="1">
        <v>15018</v>
      </c>
      <c r="C17" s="1" t="s">
        <v>653</v>
      </c>
      <c r="G17" s="362" t="s">
        <v>685</v>
      </c>
      <c r="H17" s="338">
        <v>735</v>
      </c>
      <c r="I17" s="338">
        <v>535</v>
      </c>
      <c r="J17" s="338">
        <v>464</v>
      </c>
      <c r="K17" s="338">
        <v>620</v>
      </c>
      <c r="L17" s="338">
        <v>742</v>
      </c>
      <c r="M17" s="338">
        <v>911</v>
      </c>
      <c r="N17" s="338">
        <v>816</v>
      </c>
      <c r="O17" s="338">
        <v>603</v>
      </c>
      <c r="P17" s="338">
        <v>648</v>
      </c>
      <c r="R17" s="366" t="s">
        <v>685</v>
      </c>
      <c r="S17" s="338">
        <v>809</v>
      </c>
      <c r="T17" s="338">
        <v>1085</v>
      </c>
      <c r="U17" s="338">
        <v>1221</v>
      </c>
      <c r="V17" s="338">
        <v>980</v>
      </c>
      <c r="W17" s="338">
        <v>648</v>
      </c>
      <c r="X17" s="338">
        <v>632</v>
      </c>
      <c r="Y17" s="338">
        <v>781</v>
      </c>
      <c r="Z17" s="338">
        <v>855</v>
      </c>
      <c r="AA17" s="346">
        <v>675</v>
      </c>
      <c r="AC17" s="366" t="s">
        <v>685</v>
      </c>
      <c r="AD17" s="338">
        <v>0.52</v>
      </c>
      <c r="AE17" s="338">
        <v>0.45</v>
      </c>
      <c r="AF17" s="338">
        <v>0.42</v>
      </c>
      <c r="AG17" s="338">
        <v>0.46</v>
      </c>
      <c r="AH17" s="338">
        <v>0.53</v>
      </c>
      <c r="AI17" s="338">
        <v>0.56999999999999995</v>
      </c>
      <c r="AJ17" s="338">
        <v>0.56000000000000005</v>
      </c>
      <c r="AK17" s="338">
        <v>0.47</v>
      </c>
      <c r="AL17" s="346">
        <v>0.49</v>
      </c>
    </row>
    <row r="18" spans="2:47" ht="15">
      <c r="B18" s="1">
        <v>15019</v>
      </c>
      <c r="C18" s="1" t="s">
        <v>653</v>
      </c>
      <c r="G18" s="362" t="s">
        <v>687</v>
      </c>
      <c r="H18" s="338">
        <v>174</v>
      </c>
      <c r="I18" s="338">
        <v>97</v>
      </c>
      <c r="J18" s="338">
        <v>86</v>
      </c>
      <c r="K18" s="338">
        <v>114</v>
      </c>
      <c r="L18" s="338">
        <v>235</v>
      </c>
      <c r="M18" s="338">
        <v>346</v>
      </c>
      <c r="N18" s="338">
        <v>192</v>
      </c>
      <c r="O18" s="338">
        <v>130</v>
      </c>
      <c r="P18" s="338">
        <v>178</v>
      </c>
      <c r="R18" s="366" t="s">
        <v>687</v>
      </c>
      <c r="S18" s="338">
        <v>847</v>
      </c>
      <c r="T18" s="338">
        <v>1108</v>
      </c>
      <c r="U18" s="338">
        <v>1258</v>
      </c>
      <c r="V18" s="338">
        <v>1114</v>
      </c>
      <c r="W18" s="338">
        <v>843</v>
      </c>
      <c r="X18" s="338">
        <v>900</v>
      </c>
      <c r="Y18" s="338">
        <v>978</v>
      </c>
      <c r="Z18" s="338">
        <v>1008</v>
      </c>
      <c r="AA18" s="346">
        <v>800</v>
      </c>
      <c r="AC18" s="366" t="s">
        <v>687</v>
      </c>
      <c r="AD18" s="338">
        <v>0.18</v>
      </c>
      <c r="AE18" s="338">
        <v>0.11</v>
      </c>
      <c r="AF18" s="338">
        <v>0.1</v>
      </c>
      <c r="AG18" s="338">
        <v>0.13</v>
      </c>
      <c r="AH18" s="338">
        <v>0.24</v>
      </c>
      <c r="AI18" s="338">
        <v>0.3</v>
      </c>
      <c r="AJ18" s="338">
        <v>0.23</v>
      </c>
      <c r="AK18" s="338">
        <v>0.15</v>
      </c>
      <c r="AL18" s="346">
        <v>0.2</v>
      </c>
      <c r="AN18" s="705" t="s">
        <v>819</v>
      </c>
      <c r="AO18" s="706"/>
      <c r="AP18" s="706"/>
      <c r="AQ18" s="706"/>
      <c r="AR18" s="706"/>
      <c r="AS18" s="706"/>
      <c r="AT18" s="706"/>
      <c r="AU18" s="707"/>
    </row>
    <row r="19" spans="2:47" ht="15.75" thickBot="1">
      <c r="B19" s="1">
        <v>15020</v>
      </c>
      <c r="C19" s="1" t="s">
        <v>653</v>
      </c>
      <c r="G19" s="362" t="s">
        <v>689</v>
      </c>
      <c r="H19" s="340">
        <v>3130</v>
      </c>
      <c r="I19" s="340">
        <v>3048</v>
      </c>
      <c r="J19" s="340">
        <v>3010</v>
      </c>
      <c r="K19" s="340">
        <v>3080</v>
      </c>
      <c r="L19" s="340">
        <v>3163</v>
      </c>
      <c r="M19" s="340">
        <v>3200</v>
      </c>
      <c r="N19" s="340">
        <v>3116</v>
      </c>
      <c r="O19" s="340">
        <v>3094</v>
      </c>
      <c r="P19" s="340">
        <v>3135</v>
      </c>
      <c r="R19" s="367" t="s">
        <v>689</v>
      </c>
      <c r="S19" s="350">
        <v>363</v>
      </c>
      <c r="T19" s="350">
        <v>613</v>
      </c>
      <c r="U19" s="350">
        <v>668</v>
      </c>
      <c r="V19" s="350">
        <v>534</v>
      </c>
      <c r="W19" s="350">
        <v>307</v>
      </c>
      <c r="X19" s="350">
        <v>222</v>
      </c>
      <c r="Y19" s="350">
        <v>409</v>
      </c>
      <c r="Z19" s="350">
        <v>439</v>
      </c>
      <c r="AA19" s="351">
        <v>328</v>
      </c>
      <c r="AC19" s="367" t="s">
        <v>689</v>
      </c>
      <c r="AD19" s="350">
        <v>0.5</v>
      </c>
      <c r="AE19" s="350">
        <v>0.47</v>
      </c>
      <c r="AF19" s="350">
        <v>0.45</v>
      </c>
      <c r="AG19" s="350">
        <v>0.48</v>
      </c>
      <c r="AH19" s="350">
        <v>0.52</v>
      </c>
      <c r="AI19" s="350">
        <v>0.53</v>
      </c>
      <c r="AJ19" s="350">
        <v>0.51</v>
      </c>
      <c r="AK19" s="350">
        <v>0.48</v>
      </c>
      <c r="AL19" s="351">
        <v>0.51</v>
      </c>
      <c r="AN19" s="90"/>
      <c r="AO19" s="91"/>
      <c r="AP19" s="743" t="s">
        <v>820</v>
      </c>
      <c r="AQ19" s="744"/>
      <c r="AR19" s="745"/>
      <c r="AS19" s="752" t="s">
        <v>821</v>
      </c>
      <c r="AT19" s="753"/>
      <c r="AU19" s="834"/>
    </row>
    <row r="20" spans="2:47" ht="15">
      <c r="B20" s="1">
        <v>15021</v>
      </c>
      <c r="C20" s="1" t="s">
        <v>653</v>
      </c>
      <c r="AN20" s="90"/>
      <c r="AO20" s="91"/>
      <c r="AP20" s="831"/>
      <c r="AQ20" s="832"/>
      <c r="AR20" s="833"/>
      <c r="AS20" s="835"/>
      <c r="AT20" s="836"/>
      <c r="AU20" s="837"/>
    </row>
    <row r="21" spans="2:47" ht="15">
      <c r="B21" s="1">
        <v>15022</v>
      </c>
      <c r="C21" s="1" t="s">
        <v>653</v>
      </c>
      <c r="AN21" s="92" t="s">
        <v>103</v>
      </c>
      <c r="AO21" s="4" t="s">
        <v>104</v>
      </c>
      <c r="AP21" s="454" t="s">
        <v>251</v>
      </c>
      <c r="AQ21" s="454" t="s">
        <v>252</v>
      </c>
      <c r="AR21" s="454" t="s">
        <v>253</v>
      </c>
      <c r="AS21" s="454" t="s">
        <v>246</v>
      </c>
      <c r="AT21" s="454" t="s">
        <v>206</v>
      </c>
      <c r="AU21" s="455" t="s">
        <v>470</v>
      </c>
    </row>
    <row r="22" spans="2:47" ht="15">
      <c r="B22" s="1">
        <v>15024</v>
      </c>
      <c r="C22" s="1" t="s">
        <v>653</v>
      </c>
      <c r="AN22" s="93" t="s">
        <v>106</v>
      </c>
      <c r="AO22" s="83" t="s">
        <v>822</v>
      </c>
      <c r="AP22" s="86">
        <v>13</v>
      </c>
      <c r="AQ22" s="86" t="s">
        <v>109</v>
      </c>
      <c r="AR22" s="86" t="s">
        <v>109</v>
      </c>
      <c r="AS22" s="86">
        <v>16</v>
      </c>
      <c r="AT22" s="86">
        <v>13</v>
      </c>
      <c r="AU22" s="94" t="s">
        <v>109</v>
      </c>
    </row>
    <row r="23" spans="2:47" ht="15">
      <c r="B23" s="1">
        <v>15025</v>
      </c>
      <c r="C23" s="1" t="s">
        <v>653</v>
      </c>
      <c r="AN23" s="93" t="s">
        <v>106</v>
      </c>
      <c r="AO23" s="83" t="s">
        <v>823</v>
      </c>
      <c r="AP23" s="86">
        <v>13</v>
      </c>
      <c r="AQ23" s="86" t="s">
        <v>109</v>
      </c>
      <c r="AR23" s="56" t="s">
        <v>109</v>
      </c>
      <c r="AS23" s="86">
        <v>18</v>
      </c>
      <c r="AT23" s="86">
        <v>13</v>
      </c>
      <c r="AU23" s="94" t="s">
        <v>109</v>
      </c>
    </row>
    <row r="24" spans="2:47" ht="15">
      <c r="B24" s="1">
        <v>15026</v>
      </c>
      <c r="C24" s="1" t="s">
        <v>653</v>
      </c>
      <c r="AN24" s="93" t="s">
        <v>106</v>
      </c>
      <c r="AO24" s="87" t="s">
        <v>273</v>
      </c>
      <c r="AP24" s="86" t="s">
        <v>109</v>
      </c>
      <c r="AQ24" s="86">
        <v>11.2</v>
      </c>
      <c r="AR24" s="86">
        <v>11.4</v>
      </c>
      <c r="AS24" s="86" t="s">
        <v>109</v>
      </c>
      <c r="AT24" s="86">
        <v>12.32</v>
      </c>
      <c r="AU24" s="94">
        <v>12.540000000000001</v>
      </c>
    </row>
    <row r="25" spans="2:47" ht="15">
      <c r="B25" s="1">
        <v>15027</v>
      </c>
      <c r="C25" s="1" t="s">
        <v>653</v>
      </c>
      <c r="AN25" s="93" t="s">
        <v>106</v>
      </c>
      <c r="AO25" s="87" t="s">
        <v>277</v>
      </c>
      <c r="AP25" s="86" t="s">
        <v>109</v>
      </c>
      <c r="AQ25" s="86">
        <v>11</v>
      </c>
      <c r="AR25" s="86">
        <v>11.2</v>
      </c>
      <c r="AS25" s="86" t="s">
        <v>109</v>
      </c>
      <c r="AT25" s="86">
        <v>12.100000000000001</v>
      </c>
      <c r="AU25" s="94">
        <v>12.32</v>
      </c>
    </row>
    <row r="26" spans="2:47" ht="15">
      <c r="B26" s="1">
        <v>15028</v>
      </c>
      <c r="C26" s="1" t="s">
        <v>653</v>
      </c>
      <c r="AN26" s="93" t="s">
        <v>106</v>
      </c>
      <c r="AO26" s="87" t="s">
        <v>279</v>
      </c>
      <c r="AP26" s="86" t="s">
        <v>109</v>
      </c>
      <c r="AQ26" s="86">
        <v>10</v>
      </c>
      <c r="AR26" s="86">
        <v>10.1</v>
      </c>
      <c r="AS26" s="86" t="s">
        <v>109</v>
      </c>
      <c r="AT26" s="86">
        <v>11</v>
      </c>
      <c r="AU26" s="94">
        <v>11.110000000000001</v>
      </c>
    </row>
    <row r="27" spans="2:47" ht="15">
      <c r="B27" s="1">
        <v>15030</v>
      </c>
      <c r="C27" s="1" t="s">
        <v>653</v>
      </c>
      <c r="AN27" s="93" t="s">
        <v>106</v>
      </c>
      <c r="AO27" s="87" t="s">
        <v>283</v>
      </c>
      <c r="AP27" s="86" t="s">
        <v>109</v>
      </c>
      <c r="AQ27" s="86">
        <v>9.6999999999999993</v>
      </c>
      <c r="AR27" s="86">
        <v>9.8000000000000007</v>
      </c>
      <c r="AS27" s="86" t="s">
        <v>109</v>
      </c>
      <c r="AT27" s="86">
        <v>10.67</v>
      </c>
      <c r="AU27" s="94">
        <v>10.780000000000001</v>
      </c>
    </row>
    <row r="28" spans="2:47" ht="15">
      <c r="B28" s="1">
        <v>15031</v>
      </c>
      <c r="C28" s="1" t="s">
        <v>653</v>
      </c>
      <c r="AN28" s="93" t="s">
        <v>824</v>
      </c>
      <c r="AO28" s="83" t="s">
        <v>822</v>
      </c>
      <c r="AP28" s="86">
        <v>13.92</v>
      </c>
      <c r="AQ28" s="86">
        <v>12.1</v>
      </c>
      <c r="AR28" s="86">
        <v>12.3</v>
      </c>
      <c r="AS28" s="86">
        <v>16</v>
      </c>
      <c r="AT28" s="86">
        <v>13.31</v>
      </c>
      <c r="AU28" s="94" t="s">
        <v>109</v>
      </c>
    </row>
    <row r="29" spans="2:47" ht="15.75" thickBot="1">
      <c r="B29" s="1">
        <v>15032</v>
      </c>
      <c r="C29" s="1" t="s">
        <v>653</v>
      </c>
      <c r="AN29" s="93" t="s">
        <v>824</v>
      </c>
      <c r="AO29" s="83" t="s">
        <v>823</v>
      </c>
      <c r="AP29" s="86">
        <v>13.92</v>
      </c>
      <c r="AQ29" s="86">
        <v>12.1</v>
      </c>
      <c r="AR29" s="86">
        <v>12.3</v>
      </c>
      <c r="AS29" s="86">
        <v>18</v>
      </c>
      <c r="AT29" s="86">
        <v>13.31</v>
      </c>
      <c r="AU29" s="94" t="s">
        <v>109</v>
      </c>
    </row>
    <row r="30" spans="2:47" ht="15">
      <c r="B30" s="1">
        <v>15033</v>
      </c>
      <c r="C30" s="1" t="s">
        <v>653</v>
      </c>
      <c r="G30" s="331" t="s">
        <v>825</v>
      </c>
      <c r="H30" s="332"/>
      <c r="I30" s="332"/>
      <c r="J30" s="332"/>
      <c r="K30" s="332"/>
      <c r="L30" s="332"/>
      <c r="M30" s="332"/>
      <c r="N30" s="332"/>
      <c r="O30" s="332"/>
      <c r="P30" s="333"/>
      <c r="AN30" s="93" t="s">
        <v>824</v>
      </c>
      <c r="AO30" s="83" t="s">
        <v>273</v>
      </c>
      <c r="AP30" s="86" t="s">
        <v>109</v>
      </c>
      <c r="AQ30" s="86">
        <v>12.1</v>
      </c>
      <c r="AR30" s="86">
        <v>12.3</v>
      </c>
      <c r="AS30" s="86" t="s">
        <v>109</v>
      </c>
      <c r="AT30" s="86">
        <v>13.31</v>
      </c>
      <c r="AU30" s="94">
        <v>13.530000000000001</v>
      </c>
    </row>
    <row r="31" spans="2:47" ht="15.75" thickBot="1">
      <c r="B31" s="1">
        <v>15034</v>
      </c>
      <c r="C31" s="1" t="s">
        <v>653</v>
      </c>
      <c r="G31" s="62" t="s">
        <v>614</v>
      </c>
      <c r="H31" s="63" t="s">
        <v>647</v>
      </c>
      <c r="I31" s="63" t="s">
        <v>648</v>
      </c>
      <c r="J31" s="63" t="s">
        <v>649</v>
      </c>
      <c r="K31" s="63" t="s">
        <v>650</v>
      </c>
      <c r="L31" s="63" t="s">
        <v>651</v>
      </c>
      <c r="M31" s="63" t="s">
        <v>652</v>
      </c>
      <c r="N31" s="63" t="s">
        <v>653</v>
      </c>
      <c r="O31" s="63" t="s">
        <v>654</v>
      </c>
      <c r="P31" s="64" t="s">
        <v>655</v>
      </c>
      <c r="AN31" s="93" t="s">
        <v>824</v>
      </c>
      <c r="AO31" s="83" t="s">
        <v>277</v>
      </c>
      <c r="AP31" s="86" t="s">
        <v>109</v>
      </c>
      <c r="AQ31" s="86">
        <v>12.5</v>
      </c>
      <c r="AR31" s="86">
        <v>12.7</v>
      </c>
      <c r="AS31" s="86" t="s">
        <v>109</v>
      </c>
      <c r="AT31" s="86">
        <v>13.750000000000002</v>
      </c>
      <c r="AU31" s="94">
        <v>13.97</v>
      </c>
    </row>
    <row r="32" spans="2:47" ht="15">
      <c r="B32" s="1">
        <v>15035</v>
      </c>
      <c r="C32" s="1" t="s">
        <v>653</v>
      </c>
      <c r="G32" s="343" t="s">
        <v>363</v>
      </c>
      <c r="H32" s="341">
        <v>665</v>
      </c>
      <c r="I32" s="342">
        <v>416</v>
      </c>
      <c r="J32" s="342">
        <v>368</v>
      </c>
      <c r="K32" s="341">
        <v>490</v>
      </c>
      <c r="L32" s="341">
        <v>696</v>
      </c>
      <c r="M32" s="341">
        <v>770</v>
      </c>
      <c r="N32" s="341">
        <v>600</v>
      </c>
      <c r="O32" s="341">
        <v>524</v>
      </c>
      <c r="P32" s="344">
        <v>619</v>
      </c>
      <c r="AN32" s="93" t="s">
        <v>824</v>
      </c>
      <c r="AO32" s="83" t="s">
        <v>279</v>
      </c>
      <c r="AP32" s="86" t="s">
        <v>109</v>
      </c>
      <c r="AQ32" s="86">
        <v>12.4</v>
      </c>
      <c r="AR32" s="86">
        <v>12.6</v>
      </c>
      <c r="AS32" s="86" t="s">
        <v>109</v>
      </c>
      <c r="AT32" s="86">
        <v>13.640000000000002</v>
      </c>
      <c r="AU32" s="94">
        <v>13.860000000000001</v>
      </c>
    </row>
    <row r="33" spans="2:56" ht="15">
      <c r="B33" s="1">
        <v>15036</v>
      </c>
      <c r="C33" s="1" t="s">
        <v>653</v>
      </c>
      <c r="G33" s="345" t="s">
        <v>239</v>
      </c>
      <c r="H33" s="337">
        <v>275</v>
      </c>
      <c r="I33" s="338">
        <v>182</v>
      </c>
      <c r="J33" s="338">
        <v>161</v>
      </c>
      <c r="K33" s="337">
        <v>214</v>
      </c>
      <c r="L33" s="337">
        <v>344</v>
      </c>
      <c r="M33" s="337">
        <v>389</v>
      </c>
      <c r="N33" s="337">
        <v>282</v>
      </c>
      <c r="O33" s="337">
        <v>244</v>
      </c>
      <c r="P33" s="346">
        <v>316</v>
      </c>
      <c r="R33" s="84"/>
      <c r="AN33" s="95" t="s">
        <v>824</v>
      </c>
      <c r="AO33" s="88" t="s">
        <v>283</v>
      </c>
      <c r="AP33" s="89" t="s">
        <v>109</v>
      </c>
      <c r="AQ33" s="89">
        <v>11</v>
      </c>
      <c r="AR33" s="89">
        <v>11.1</v>
      </c>
      <c r="AS33" s="89" t="s">
        <v>109</v>
      </c>
      <c r="AT33" s="89">
        <v>12.100000000000001</v>
      </c>
      <c r="AU33" s="96">
        <v>12.21</v>
      </c>
    </row>
    <row r="34" spans="2:56" ht="15">
      <c r="B34" s="1">
        <v>15037</v>
      </c>
      <c r="C34" s="1" t="s">
        <v>653</v>
      </c>
      <c r="G34" s="345" t="s">
        <v>670</v>
      </c>
      <c r="H34" s="339">
        <v>1240</v>
      </c>
      <c r="I34" s="338">
        <v>935</v>
      </c>
      <c r="J34" s="338">
        <v>825</v>
      </c>
      <c r="K34" s="339">
        <v>1100</v>
      </c>
      <c r="L34" s="339">
        <v>1362</v>
      </c>
      <c r="M34" s="339">
        <v>1556</v>
      </c>
      <c r="N34" s="339">
        <v>1185</v>
      </c>
      <c r="O34" s="339">
        <v>1134</v>
      </c>
      <c r="P34" s="347">
        <v>1208</v>
      </c>
      <c r="R34" s="83" t="s">
        <v>826</v>
      </c>
      <c r="AN34" s="55" t="s">
        <v>827</v>
      </c>
      <c r="AO34" s="1" t="s">
        <v>822</v>
      </c>
      <c r="AP34" s="86">
        <v>13.92</v>
      </c>
      <c r="AQ34" s="86">
        <v>12.1</v>
      </c>
      <c r="AR34" s="86">
        <v>12.3</v>
      </c>
      <c r="AS34" s="86">
        <v>16</v>
      </c>
      <c r="AT34" s="86">
        <v>13.31</v>
      </c>
      <c r="AU34" s="94" t="s">
        <v>109</v>
      </c>
    </row>
    <row r="35" spans="2:56" ht="15">
      <c r="B35" s="1">
        <v>15038</v>
      </c>
      <c r="C35" s="1" t="s">
        <v>653</v>
      </c>
      <c r="G35" s="345" t="s">
        <v>673</v>
      </c>
      <c r="H35" s="337">
        <v>459</v>
      </c>
      <c r="I35" s="338">
        <v>347</v>
      </c>
      <c r="J35" s="338">
        <v>306</v>
      </c>
      <c r="K35" s="337">
        <v>408</v>
      </c>
      <c r="L35" s="337">
        <v>520</v>
      </c>
      <c r="M35" s="337">
        <v>622</v>
      </c>
      <c r="N35" s="337">
        <v>472</v>
      </c>
      <c r="O35" s="337">
        <v>418</v>
      </c>
      <c r="P35" s="346">
        <v>462</v>
      </c>
      <c r="R35" s="84"/>
      <c r="AN35" s="55" t="s">
        <v>827</v>
      </c>
      <c r="AO35" s="1" t="s">
        <v>823</v>
      </c>
      <c r="AP35" s="86">
        <v>13.92</v>
      </c>
      <c r="AQ35" s="86">
        <v>12.1</v>
      </c>
      <c r="AR35" s="86">
        <v>12.3</v>
      </c>
      <c r="AS35" s="86">
        <v>18</v>
      </c>
      <c r="AT35" s="86">
        <v>13.31</v>
      </c>
      <c r="AU35" s="94" t="s">
        <v>109</v>
      </c>
    </row>
    <row r="36" spans="2:56" ht="15">
      <c r="B36" s="1">
        <v>15042</v>
      </c>
      <c r="C36" s="1" t="s">
        <v>653</v>
      </c>
      <c r="G36" s="345" t="s">
        <v>676</v>
      </c>
      <c r="H36" s="337">
        <v>708</v>
      </c>
      <c r="I36" s="338">
        <v>449</v>
      </c>
      <c r="J36" s="338">
        <v>395</v>
      </c>
      <c r="K36" s="337">
        <v>527</v>
      </c>
      <c r="L36" s="337">
        <v>700</v>
      </c>
      <c r="M36" s="337">
        <v>780</v>
      </c>
      <c r="N36" s="337">
        <v>631</v>
      </c>
      <c r="O36" s="337">
        <v>574</v>
      </c>
      <c r="P36" s="346">
        <v>614</v>
      </c>
      <c r="R36" s="84"/>
      <c r="AN36" s="55" t="s">
        <v>827</v>
      </c>
      <c r="AO36" s="1" t="s">
        <v>273</v>
      </c>
      <c r="AP36" s="86" t="s">
        <v>109</v>
      </c>
      <c r="AQ36" s="86">
        <v>12.1</v>
      </c>
      <c r="AR36" s="86">
        <v>12.3</v>
      </c>
      <c r="AS36" s="86" t="s">
        <v>109</v>
      </c>
      <c r="AT36" s="86">
        <v>13.31</v>
      </c>
      <c r="AU36" s="94">
        <v>13.530000000000001</v>
      </c>
    </row>
    <row r="37" spans="2:56" ht="15">
      <c r="B37" s="1">
        <v>15043</v>
      </c>
      <c r="C37" s="1" t="s">
        <v>653</v>
      </c>
      <c r="G37" s="345" t="s">
        <v>680</v>
      </c>
      <c r="H37" s="339">
        <v>1397</v>
      </c>
      <c r="I37" s="340">
        <v>1178</v>
      </c>
      <c r="J37" s="338">
        <v>988</v>
      </c>
      <c r="K37" s="339">
        <v>1317</v>
      </c>
      <c r="L37" s="339">
        <v>1511</v>
      </c>
      <c r="M37" s="339">
        <v>1654</v>
      </c>
      <c r="N37" s="339">
        <v>1432</v>
      </c>
      <c r="O37" s="339">
        <v>1352</v>
      </c>
      <c r="P37" s="347">
        <v>1415</v>
      </c>
      <c r="R37" s="26" t="s">
        <v>475</v>
      </c>
      <c r="AN37" s="55" t="s">
        <v>827</v>
      </c>
      <c r="AO37" s="1" t="s">
        <v>277</v>
      </c>
      <c r="AP37" s="86" t="s">
        <v>109</v>
      </c>
      <c r="AQ37" s="86">
        <v>12</v>
      </c>
      <c r="AR37" s="86">
        <v>12.2</v>
      </c>
      <c r="AS37" s="86" t="s">
        <v>109</v>
      </c>
      <c r="AT37" s="86">
        <v>13.200000000000001</v>
      </c>
      <c r="AU37" s="94">
        <v>13.42</v>
      </c>
    </row>
    <row r="38" spans="2:56" ht="15">
      <c r="B38" s="1">
        <v>15044</v>
      </c>
      <c r="C38" s="1" t="s">
        <v>653</v>
      </c>
      <c r="G38" s="345" t="s">
        <v>683</v>
      </c>
      <c r="H38" s="337">
        <v>446</v>
      </c>
      <c r="I38" s="338">
        <v>334</v>
      </c>
      <c r="J38" s="338">
        <v>295</v>
      </c>
      <c r="K38" s="337">
        <v>393</v>
      </c>
      <c r="L38" s="337">
        <v>521</v>
      </c>
      <c r="M38" s="337">
        <v>586</v>
      </c>
      <c r="N38" s="337">
        <v>443</v>
      </c>
      <c r="O38" s="337">
        <v>410</v>
      </c>
      <c r="P38" s="346">
        <v>453</v>
      </c>
      <c r="R38" s="83" t="s">
        <v>478</v>
      </c>
      <c r="AN38" s="55" t="s">
        <v>827</v>
      </c>
      <c r="AO38" s="1" t="s">
        <v>279</v>
      </c>
      <c r="AP38" s="86" t="s">
        <v>109</v>
      </c>
      <c r="AQ38" s="86">
        <v>11.9</v>
      </c>
      <c r="AR38" s="86">
        <v>12.1</v>
      </c>
      <c r="AS38" s="86" t="s">
        <v>109</v>
      </c>
      <c r="AT38" s="86">
        <v>13.090000000000002</v>
      </c>
      <c r="AU38" s="94">
        <v>13.31</v>
      </c>
    </row>
    <row r="39" spans="2:56" ht="15.75" thickBot="1">
      <c r="B39" s="1">
        <v>15045</v>
      </c>
      <c r="C39" s="1" t="s">
        <v>653</v>
      </c>
      <c r="G39" s="348" t="s">
        <v>685</v>
      </c>
      <c r="H39" s="349">
        <v>749</v>
      </c>
      <c r="I39" s="350">
        <v>518</v>
      </c>
      <c r="J39" s="350">
        <v>457</v>
      </c>
      <c r="K39" s="349">
        <v>609</v>
      </c>
      <c r="L39" s="349">
        <v>836</v>
      </c>
      <c r="M39" s="349">
        <v>897</v>
      </c>
      <c r="N39" s="349">
        <v>699</v>
      </c>
      <c r="O39" s="349">
        <v>659</v>
      </c>
      <c r="P39" s="351">
        <v>742</v>
      </c>
      <c r="R39" s="83" t="s">
        <v>480</v>
      </c>
      <c r="AN39" s="58" t="s">
        <v>827</v>
      </c>
      <c r="AO39" s="97" t="s">
        <v>283</v>
      </c>
      <c r="AP39" s="98" t="s">
        <v>109</v>
      </c>
      <c r="AQ39" s="98">
        <v>11</v>
      </c>
      <c r="AR39" s="98">
        <v>11.1</v>
      </c>
      <c r="AS39" s="98" t="s">
        <v>109</v>
      </c>
      <c r="AT39" s="98">
        <v>12.100000000000001</v>
      </c>
      <c r="AU39" s="99">
        <v>12.21</v>
      </c>
    </row>
    <row r="40" spans="2:56" ht="15">
      <c r="B40" s="1">
        <v>15046</v>
      </c>
      <c r="C40" s="1" t="s">
        <v>653</v>
      </c>
      <c r="R40" s="84"/>
    </row>
    <row r="41" spans="2:56" ht="15.75" thickBot="1">
      <c r="B41" s="1">
        <v>15047</v>
      </c>
      <c r="C41" s="1" t="s">
        <v>653</v>
      </c>
      <c r="R41" s="26" t="s">
        <v>828</v>
      </c>
    </row>
    <row r="42" spans="2:56" ht="15">
      <c r="B42" s="1">
        <v>15049</v>
      </c>
      <c r="C42" s="1" t="s">
        <v>653</v>
      </c>
      <c r="R42" s="85">
        <v>900</v>
      </c>
      <c r="AN42" s="720" t="s">
        <v>829</v>
      </c>
      <c r="AO42" s="721"/>
      <c r="AP42" s="721"/>
      <c r="AQ42" s="721"/>
      <c r="AR42" s="721"/>
      <c r="AS42" s="721"/>
      <c r="AT42" s="721"/>
      <c r="AU42" s="721"/>
      <c r="AV42" s="721"/>
      <c r="AW42" s="721"/>
      <c r="AX42" s="721"/>
      <c r="AY42" s="721"/>
      <c r="AZ42" s="721"/>
      <c r="BA42" s="721"/>
      <c r="BB42" s="721"/>
      <c r="BC42" s="721"/>
      <c r="BD42" s="722"/>
    </row>
    <row r="43" spans="2:56" ht="15.75" thickBot="1">
      <c r="B43" s="1">
        <v>15050</v>
      </c>
      <c r="C43" s="1" t="s">
        <v>653</v>
      </c>
      <c r="R43" s="85">
        <v>1200</v>
      </c>
      <c r="AN43" s="728"/>
      <c r="AO43" s="714"/>
      <c r="AP43" s="729"/>
      <c r="AQ43" s="776" t="s">
        <v>820</v>
      </c>
      <c r="AR43" s="776"/>
      <c r="AS43" s="776"/>
      <c r="AT43" s="776"/>
      <c r="AU43" s="776"/>
      <c r="AV43" s="703" t="s">
        <v>830</v>
      </c>
      <c r="AW43" s="703"/>
      <c r="AX43" s="703" t="s">
        <v>831</v>
      </c>
      <c r="AY43" s="703"/>
      <c r="AZ43" s="776" t="s">
        <v>832</v>
      </c>
      <c r="BA43" s="776"/>
      <c r="BB43" s="776"/>
      <c r="BC43" s="776"/>
      <c r="BD43" s="828"/>
    </row>
    <row r="44" spans="2:56" ht="15">
      <c r="B44" s="1">
        <v>15051</v>
      </c>
      <c r="C44" s="1" t="s">
        <v>653</v>
      </c>
      <c r="G44" s="331" t="s">
        <v>833</v>
      </c>
      <c r="H44" s="332"/>
      <c r="I44" s="332"/>
      <c r="J44" s="332"/>
      <c r="K44" s="332"/>
      <c r="L44" s="332"/>
      <c r="M44" s="332"/>
      <c r="N44" s="332"/>
      <c r="O44" s="332"/>
      <c r="P44" s="333"/>
      <c r="R44" s="85">
        <v>1800</v>
      </c>
      <c r="AN44" s="730"/>
      <c r="AO44" s="717"/>
      <c r="AP44" s="731"/>
      <c r="AQ44" s="776"/>
      <c r="AR44" s="776"/>
      <c r="AS44" s="776"/>
      <c r="AT44" s="776"/>
      <c r="AU44" s="776"/>
      <c r="AV44" s="703"/>
      <c r="AW44" s="703"/>
      <c r="AX44" s="703"/>
      <c r="AY44" s="703"/>
      <c r="AZ44" s="776"/>
      <c r="BA44" s="776"/>
      <c r="BB44" s="776"/>
      <c r="BC44" s="776"/>
      <c r="BD44" s="828"/>
    </row>
    <row r="45" spans="2:56" ht="15.75" thickBot="1">
      <c r="B45" s="1">
        <v>15052</v>
      </c>
      <c r="C45" s="1" t="s">
        <v>653</v>
      </c>
      <c r="G45" s="62" t="s">
        <v>614</v>
      </c>
      <c r="H45" s="63" t="s">
        <v>647</v>
      </c>
      <c r="I45" s="63" t="s">
        <v>648</v>
      </c>
      <c r="J45" s="63" t="s">
        <v>649</v>
      </c>
      <c r="K45" s="63" t="s">
        <v>650</v>
      </c>
      <c r="L45" s="63" t="s">
        <v>651</v>
      </c>
      <c r="M45" s="63" t="s">
        <v>652</v>
      </c>
      <c r="N45" s="63" t="s">
        <v>653</v>
      </c>
      <c r="O45" s="63" t="s">
        <v>654</v>
      </c>
      <c r="P45" s="64" t="s">
        <v>655</v>
      </c>
      <c r="R45" s="85">
        <v>3600</v>
      </c>
      <c r="AN45" s="92" t="s">
        <v>103</v>
      </c>
      <c r="AO45" s="4" t="s">
        <v>104</v>
      </c>
      <c r="AP45" s="454" t="s">
        <v>470</v>
      </c>
      <c r="AQ45" s="454" t="s">
        <v>251</v>
      </c>
      <c r="AR45" s="454" t="s">
        <v>252</v>
      </c>
      <c r="AS45" s="454" t="s">
        <v>253</v>
      </c>
      <c r="AT45" s="454" t="s">
        <v>365</v>
      </c>
      <c r="AU45" s="454" t="s">
        <v>366</v>
      </c>
      <c r="AV45" s="454" t="s">
        <v>251</v>
      </c>
      <c r="AW45" s="454" t="s">
        <v>366</v>
      </c>
      <c r="AX45" s="454" t="s">
        <v>252</v>
      </c>
      <c r="AY45" s="454" t="s">
        <v>366</v>
      </c>
      <c r="AZ45" s="454" t="s">
        <v>246</v>
      </c>
      <c r="BA45" s="454" t="s">
        <v>206</v>
      </c>
      <c r="BB45" s="454" t="s">
        <v>470</v>
      </c>
      <c r="BC45" s="454" t="s">
        <v>471</v>
      </c>
      <c r="BD45" s="455" t="s">
        <v>370</v>
      </c>
    </row>
    <row r="46" spans="2:56" ht="15">
      <c r="B46" s="1">
        <v>15053</v>
      </c>
      <c r="C46" s="1" t="s">
        <v>653</v>
      </c>
      <c r="G46" s="343" t="s">
        <v>363</v>
      </c>
      <c r="H46" s="341">
        <v>0.42</v>
      </c>
      <c r="I46" s="342">
        <v>0.28000000000000003</v>
      </c>
      <c r="J46" s="342">
        <v>0.23</v>
      </c>
      <c r="K46" s="341">
        <v>0.31</v>
      </c>
      <c r="L46" s="341">
        <v>0.43</v>
      </c>
      <c r="M46" s="341">
        <v>0.46</v>
      </c>
      <c r="N46" s="341">
        <v>0.41</v>
      </c>
      <c r="O46" s="341">
        <v>0.34</v>
      </c>
      <c r="P46" s="344">
        <v>0.4</v>
      </c>
      <c r="AN46" s="93" t="s">
        <v>472</v>
      </c>
      <c r="AO46" s="83" t="s">
        <v>834</v>
      </c>
      <c r="AP46" s="86" t="s">
        <v>109</v>
      </c>
      <c r="AQ46" s="86">
        <v>13</v>
      </c>
      <c r="AR46" s="86" t="s">
        <v>109</v>
      </c>
      <c r="AS46" s="86" t="s">
        <v>109</v>
      </c>
      <c r="AT46" s="86">
        <v>7.7</v>
      </c>
      <c r="AU46" s="86" t="s">
        <v>109</v>
      </c>
      <c r="AV46" s="86" t="s">
        <v>109</v>
      </c>
      <c r="AW46" s="86" t="s">
        <v>109</v>
      </c>
      <c r="AX46" s="86" t="s">
        <v>109</v>
      </c>
      <c r="AY46" s="86" t="s">
        <v>109</v>
      </c>
      <c r="AZ46" s="86">
        <v>16</v>
      </c>
      <c r="BA46" s="86" t="s">
        <v>109</v>
      </c>
      <c r="BB46" s="86" t="s">
        <v>109</v>
      </c>
      <c r="BC46" s="86">
        <v>9</v>
      </c>
      <c r="BD46" s="94" t="s">
        <v>109</v>
      </c>
    </row>
    <row r="47" spans="2:56" ht="15">
      <c r="B47" s="1">
        <v>15054</v>
      </c>
      <c r="C47" s="1" t="s">
        <v>653</v>
      </c>
      <c r="G47" s="345" t="s">
        <v>239</v>
      </c>
      <c r="H47" s="337">
        <v>0.11</v>
      </c>
      <c r="I47" s="338">
        <v>0.08</v>
      </c>
      <c r="J47" s="338">
        <v>7.0000000000000007E-2</v>
      </c>
      <c r="K47" s="337">
        <v>0.09</v>
      </c>
      <c r="L47" s="337">
        <v>0.18</v>
      </c>
      <c r="M47" s="337">
        <v>0.18</v>
      </c>
      <c r="N47" s="337">
        <v>0.17</v>
      </c>
      <c r="O47" s="337">
        <v>0.12</v>
      </c>
      <c r="P47" s="346">
        <v>0.17</v>
      </c>
      <c r="AN47" s="93" t="s">
        <v>472</v>
      </c>
      <c r="AO47" s="83" t="s">
        <v>835</v>
      </c>
      <c r="AP47" s="86" t="s">
        <v>109</v>
      </c>
      <c r="AQ47" s="86">
        <v>13</v>
      </c>
      <c r="AR47" s="56" t="s">
        <v>109</v>
      </c>
      <c r="AS47" s="86" t="s">
        <v>109</v>
      </c>
      <c r="AT47" s="86">
        <v>7.7</v>
      </c>
      <c r="AU47" s="86" t="s">
        <v>109</v>
      </c>
      <c r="AV47" s="86" t="s">
        <v>109</v>
      </c>
      <c r="AW47" s="86" t="s">
        <v>109</v>
      </c>
      <c r="AX47" s="86" t="s">
        <v>109</v>
      </c>
      <c r="AY47" s="86" t="s">
        <v>109</v>
      </c>
      <c r="AZ47" s="86">
        <v>18</v>
      </c>
      <c r="BA47" s="86" t="s">
        <v>109</v>
      </c>
      <c r="BB47" s="86" t="s">
        <v>109</v>
      </c>
      <c r="BC47" s="86">
        <v>10</v>
      </c>
      <c r="BD47" s="94" t="s">
        <v>109</v>
      </c>
    </row>
    <row r="48" spans="2:56" ht="15">
      <c r="B48" s="1">
        <v>15055</v>
      </c>
      <c r="C48" s="1" t="s">
        <v>653</v>
      </c>
      <c r="G48" s="345" t="s">
        <v>670</v>
      </c>
      <c r="H48" s="337">
        <v>0.5</v>
      </c>
      <c r="I48" s="338">
        <v>0.45</v>
      </c>
      <c r="J48" s="338">
        <v>0.42</v>
      </c>
      <c r="K48" s="337">
        <v>0.48</v>
      </c>
      <c r="L48" s="337">
        <v>0.5</v>
      </c>
      <c r="M48" s="337">
        <v>0.54</v>
      </c>
      <c r="N48" s="337">
        <v>0.48</v>
      </c>
      <c r="O48" s="337">
        <v>0.48</v>
      </c>
      <c r="P48" s="346">
        <v>0.5</v>
      </c>
      <c r="AN48" s="93" t="s">
        <v>472</v>
      </c>
      <c r="AO48" s="83" t="s">
        <v>273</v>
      </c>
      <c r="AP48" s="86" t="s">
        <v>109</v>
      </c>
      <c r="AQ48" s="86" t="s">
        <v>109</v>
      </c>
      <c r="AR48" s="86">
        <v>11</v>
      </c>
      <c r="AS48" s="86">
        <v>11.2</v>
      </c>
      <c r="AT48" s="86" t="s">
        <v>109</v>
      </c>
      <c r="AU48" s="86">
        <v>3.3</v>
      </c>
      <c r="AV48" s="86" t="s">
        <v>109</v>
      </c>
      <c r="AW48" s="86" t="s">
        <v>109</v>
      </c>
      <c r="AX48" s="86" t="s">
        <v>109</v>
      </c>
      <c r="AY48" s="86" t="s">
        <v>109</v>
      </c>
      <c r="AZ48" s="86" t="s">
        <v>109</v>
      </c>
      <c r="BA48" s="86">
        <v>11</v>
      </c>
      <c r="BB48" s="86">
        <v>11.2</v>
      </c>
      <c r="BC48" s="86" t="s">
        <v>109</v>
      </c>
      <c r="BD48" s="94">
        <v>3.63</v>
      </c>
    </row>
    <row r="49" spans="2:56" ht="15">
      <c r="B49" s="1">
        <v>15056</v>
      </c>
      <c r="C49" s="1" t="s">
        <v>653</v>
      </c>
      <c r="G49" s="345" t="s">
        <v>673</v>
      </c>
      <c r="H49" s="337">
        <v>0.24</v>
      </c>
      <c r="I49" s="338">
        <v>0.2</v>
      </c>
      <c r="J49" s="338">
        <v>0.16</v>
      </c>
      <c r="K49" s="337">
        <v>0.22</v>
      </c>
      <c r="L49" s="337">
        <v>0.28000000000000003</v>
      </c>
      <c r="M49" s="337">
        <v>0.3</v>
      </c>
      <c r="N49" s="337">
        <v>0.28000000000000003</v>
      </c>
      <c r="O49" s="337">
        <v>0.23</v>
      </c>
      <c r="P49" s="346">
        <v>0.26</v>
      </c>
      <c r="AN49" s="93" t="s">
        <v>472</v>
      </c>
      <c r="AO49" s="83" t="s">
        <v>277</v>
      </c>
      <c r="AP49" s="86" t="s">
        <v>109</v>
      </c>
      <c r="AQ49" s="86" t="s">
        <v>109</v>
      </c>
      <c r="AR49" s="86">
        <v>10.6</v>
      </c>
      <c r="AS49" s="86">
        <v>10.7</v>
      </c>
      <c r="AT49" s="86" t="s">
        <v>109</v>
      </c>
      <c r="AU49" s="86">
        <v>3.2</v>
      </c>
      <c r="AV49" s="86" t="s">
        <v>109</v>
      </c>
      <c r="AW49" s="86" t="s">
        <v>109</v>
      </c>
      <c r="AX49" s="86" t="s">
        <v>109</v>
      </c>
      <c r="AY49" s="86" t="s">
        <v>109</v>
      </c>
      <c r="AZ49" s="86" t="s">
        <v>109</v>
      </c>
      <c r="BA49" s="86">
        <v>10.6</v>
      </c>
      <c r="BB49" s="86">
        <v>10.7</v>
      </c>
      <c r="BC49" s="86" t="s">
        <v>109</v>
      </c>
      <c r="BD49" s="94">
        <v>3.5200000000000005</v>
      </c>
    </row>
    <row r="50" spans="2:56" ht="15">
      <c r="B50" s="1">
        <v>15057</v>
      </c>
      <c r="C50" s="1" t="s">
        <v>653</v>
      </c>
      <c r="G50" s="345" t="s">
        <v>676</v>
      </c>
      <c r="H50" s="337">
        <v>0.53</v>
      </c>
      <c r="I50" s="338">
        <v>0.41</v>
      </c>
      <c r="J50" s="338">
        <v>0.33</v>
      </c>
      <c r="K50" s="337">
        <v>0.43</v>
      </c>
      <c r="L50" s="337">
        <v>0.53</v>
      </c>
      <c r="M50" s="337">
        <v>0.57999999999999996</v>
      </c>
      <c r="N50" s="337">
        <v>0.54</v>
      </c>
      <c r="O50" s="337">
        <v>0.48</v>
      </c>
      <c r="P50" s="346">
        <v>0.5</v>
      </c>
      <c r="AN50" s="93" t="s">
        <v>472</v>
      </c>
      <c r="AO50" s="83" t="s">
        <v>836</v>
      </c>
      <c r="AP50" s="86" t="s">
        <v>109</v>
      </c>
      <c r="AQ50" s="86" t="s">
        <v>109</v>
      </c>
      <c r="AR50" s="86">
        <v>9.5</v>
      </c>
      <c r="AS50" s="86">
        <v>9.6</v>
      </c>
      <c r="AT50" s="86" t="s">
        <v>109</v>
      </c>
      <c r="AU50" s="86">
        <v>3.2</v>
      </c>
      <c r="AV50" s="86" t="s">
        <v>109</v>
      </c>
      <c r="AW50" s="86" t="s">
        <v>109</v>
      </c>
      <c r="AX50" s="86" t="s">
        <v>109</v>
      </c>
      <c r="AY50" s="86" t="s">
        <v>109</v>
      </c>
      <c r="AZ50" s="86" t="s">
        <v>109</v>
      </c>
      <c r="BA50" s="86">
        <v>9.5</v>
      </c>
      <c r="BB50" s="86">
        <v>9.6</v>
      </c>
      <c r="BC50" s="86" t="s">
        <v>109</v>
      </c>
      <c r="BD50" s="94">
        <v>3.5200000000000005</v>
      </c>
    </row>
    <row r="51" spans="2:56" ht="15">
      <c r="B51" s="1">
        <v>15059</v>
      </c>
      <c r="C51" s="1" t="s">
        <v>653</v>
      </c>
      <c r="G51" s="345" t="s">
        <v>680</v>
      </c>
      <c r="H51" s="337">
        <v>0.62</v>
      </c>
      <c r="I51" s="338">
        <v>0.59</v>
      </c>
      <c r="J51" s="338">
        <v>0.54</v>
      </c>
      <c r="K51" s="337">
        <v>0.61</v>
      </c>
      <c r="L51" s="337">
        <v>0.68</v>
      </c>
      <c r="M51" s="337">
        <v>0.69</v>
      </c>
      <c r="N51" s="337">
        <v>0.71</v>
      </c>
      <c r="O51" s="337">
        <v>0.6</v>
      </c>
      <c r="P51" s="346">
        <v>0.68</v>
      </c>
      <c r="AN51" s="93" t="s">
        <v>837</v>
      </c>
      <c r="AO51" s="83" t="s">
        <v>456</v>
      </c>
      <c r="AP51" s="86" t="s">
        <v>109</v>
      </c>
      <c r="AQ51" s="86" t="s">
        <v>109</v>
      </c>
      <c r="AR51" s="86">
        <v>11.2</v>
      </c>
      <c r="AS51" s="86" t="s">
        <v>109</v>
      </c>
      <c r="AT51" s="86" t="s">
        <v>109</v>
      </c>
      <c r="AU51" s="86">
        <v>4.2</v>
      </c>
      <c r="AV51" s="86" t="s">
        <v>109</v>
      </c>
      <c r="AW51" s="86" t="s">
        <v>109</v>
      </c>
      <c r="AX51" s="86">
        <v>11.3</v>
      </c>
      <c r="AY51" s="86">
        <v>2.2567409144196953</v>
      </c>
      <c r="AZ51" s="86" t="s">
        <v>109</v>
      </c>
      <c r="BA51" s="86">
        <v>12.32</v>
      </c>
      <c r="BB51" s="86" t="s">
        <v>109</v>
      </c>
      <c r="BC51" s="86" t="s">
        <v>109</v>
      </c>
      <c r="BD51" s="94">
        <v>4.620000000000001</v>
      </c>
    </row>
    <row r="52" spans="2:56" ht="15">
      <c r="B52" s="1">
        <v>15060</v>
      </c>
      <c r="C52" s="1" t="s">
        <v>653</v>
      </c>
      <c r="G52" s="345" t="s">
        <v>683</v>
      </c>
      <c r="H52" s="337">
        <v>0.28999999999999998</v>
      </c>
      <c r="I52" s="338">
        <v>0.24</v>
      </c>
      <c r="J52" s="338">
        <v>0.21</v>
      </c>
      <c r="K52" s="337">
        <v>0.27</v>
      </c>
      <c r="L52" s="337">
        <v>0.35</v>
      </c>
      <c r="M52" s="337">
        <v>0.23</v>
      </c>
      <c r="N52" s="337">
        <v>0.32</v>
      </c>
      <c r="O52" s="337">
        <v>0.28999999999999998</v>
      </c>
      <c r="P52" s="346">
        <v>0.32</v>
      </c>
      <c r="AN52" s="93" t="s">
        <v>837</v>
      </c>
      <c r="AO52" s="83" t="s">
        <v>838</v>
      </c>
      <c r="AP52" s="86" t="s">
        <v>109</v>
      </c>
      <c r="AQ52" s="86" t="s">
        <v>109</v>
      </c>
      <c r="AR52" s="86">
        <v>12</v>
      </c>
      <c r="AS52" s="86" t="s">
        <v>109</v>
      </c>
      <c r="AT52" s="86" t="s">
        <v>109</v>
      </c>
      <c r="AU52" s="86">
        <v>4.2</v>
      </c>
      <c r="AV52" s="86" t="s">
        <v>109</v>
      </c>
      <c r="AW52" s="86" t="s">
        <v>109</v>
      </c>
      <c r="AX52" s="86">
        <v>11.3</v>
      </c>
      <c r="AY52" s="86">
        <v>2.2567409144196953</v>
      </c>
      <c r="AZ52" s="86" t="s">
        <v>109</v>
      </c>
      <c r="BA52" s="86">
        <v>13.200000000000001</v>
      </c>
      <c r="BB52" s="86" t="s">
        <v>109</v>
      </c>
      <c r="BC52" s="86" t="s">
        <v>109</v>
      </c>
      <c r="BD52" s="94">
        <v>4.620000000000001</v>
      </c>
    </row>
    <row r="53" spans="2:56" ht="15.75" thickBot="1">
      <c r="B53" s="1">
        <v>15061</v>
      </c>
      <c r="C53" s="1" t="s">
        <v>653</v>
      </c>
      <c r="G53" s="348" t="s">
        <v>685</v>
      </c>
      <c r="H53" s="349">
        <v>0.46</v>
      </c>
      <c r="I53" s="350">
        <v>0.34</v>
      </c>
      <c r="J53" s="350">
        <v>0.28000000000000003</v>
      </c>
      <c r="K53" s="349">
        <v>0.38</v>
      </c>
      <c r="L53" s="349">
        <v>0.54</v>
      </c>
      <c r="M53" s="349">
        <v>0.55000000000000004</v>
      </c>
      <c r="N53" s="349">
        <v>0.48</v>
      </c>
      <c r="O53" s="349">
        <v>0.43</v>
      </c>
      <c r="P53" s="351">
        <v>0.48</v>
      </c>
      <c r="AN53" s="93" t="s">
        <v>839</v>
      </c>
      <c r="AO53" s="87" t="s">
        <v>473</v>
      </c>
      <c r="AP53" s="86" t="s">
        <v>109</v>
      </c>
      <c r="AQ53" s="86">
        <v>15.415929203539823</v>
      </c>
      <c r="AR53" s="86">
        <v>13.4</v>
      </c>
      <c r="AS53" s="86" t="s">
        <v>109</v>
      </c>
      <c r="AT53" s="86">
        <v>10.577199999999999</v>
      </c>
      <c r="AU53" s="86">
        <v>3.1</v>
      </c>
      <c r="AV53" s="86">
        <v>13</v>
      </c>
      <c r="AW53" s="86">
        <v>2.2567409144196953</v>
      </c>
      <c r="AX53" s="86">
        <v>13</v>
      </c>
      <c r="AY53" s="86">
        <v>3.3</v>
      </c>
      <c r="AZ53" s="86">
        <v>18.407079646017699</v>
      </c>
      <c r="BA53" s="86">
        <v>16</v>
      </c>
      <c r="BB53" s="86" t="s">
        <v>109</v>
      </c>
      <c r="BC53" s="86">
        <v>11.6008</v>
      </c>
      <c r="BD53" s="57">
        <v>3.4</v>
      </c>
    </row>
    <row r="54" spans="2:56" ht="15">
      <c r="B54" s="1">
        <v>15062</v>
      </c>
      <c r="C54" s="1" t="s">
        <v>653</v>
      </c>
      <c r="AN54" s="93" t="s">
        <v>839</v>
      </c>
      <c r="AO54" s="87" t="s">
        <v>474</v>
      </c>
      <c r="AP54" s="86" t="s">
        <v>109</v>
      </c>
      <c r="AQ54" s="86">
        <v>15.415929203539823</v>
      </c>
      <c r="AR54" s="86">
        <v>13.4</v>
      </c>
      <c r="AS54" s="86" t="s">
        <v>109</v>
      </c>
      <c r="AT54" s="86">
        <v>10.577199999999999</v>
      </c>
      <c r="AU54" s="86">
        <v>3.1</v>
      </c>
      <c r="AV54" s="86">
        <v>11</v>
      </c>
      <c r="AW54" s="86">
        <v>2.2567409144196953</v>
      </c>
      <c r="AX54" s="86">
        <v>11</v>
      </c>
      <c r="AY54" s="86">
        <v>3.3</v>
      </c>
      <c r="AZ54" s="86">
        <v>19.672566371681416</v>
      </c>
      <c r="BA54" s="86">
        <v>17.100000000000001</v>
      </c>
      <c r="BB54" s="86" t="s">
        <v>109</v>
      </c>
      <c r="BC54" s="86">
        <v>11.634920000000001</v>
      </c>
      <c r="BD54" s="57">
        <v>3.4100000000000006</v>
      </c>
    </row>
    <row r="55" spans="2:56" ht="15">
      <c r="B55" s="1">
        <v>15063</v>
      </c>
      <c r="C55" s="1" t="s">
        <v>653</v>
      </c>
      <c r="AN55" s="93" t="s">
        <v>840</v>
      </c>
      <c r="AO55" s="87" t="s">
        <v>473</v>
      </c>
      <c r="AP55" s="86" t="s">
        <v>109</v>
      </c>
      <c r="AQ55" s="86">
        <v>18.63716814159292</v>
      </c>
      <c r="AR55" s="86">
        <v>16.2</v>
      </c>
      <c r="AS55" s="86" t="s">
        <v>109</v>
      </c>
      <c r="AT55" s="86">
        <v>12.283200000000001</v>
      </c>
      <c r="AU55" s="86">
        <v>3.6</v>
      </c>
      <c r="AV55" s="86">
        <v>13</v>
      </c>
      <c r="AW55" s="86">
        <v>2.2567409144196953</v>
      </c>
      <c r="AX55" s="86">
        <v>13</v>
      </c>
      <c r="AY55" s="86">
        <v>3.3</v>
      </c>
      <c r="AZ55" s="86">
        <v>18.407079646017699</v>
      </c>
      <c r="BA55" s="86">
        <v>16</v>
      </c>
      <c r="BB55" s="86" t="s">
        <v>109</v>
      </c>
      <c r="BC55" s="86">
        <v>13.648</v>
      </c>
      <c r="BD55" s="57">
        <v>4</v>
      </c>
    </row>
    <row r="56" spans="2:56" ht="15.75" thickBot="1">
      <c r="B56" s="1">
        <v>15064</v>
      </c>
      <c r="C56" s="1" t="s">
        <v>653</v>
      </c>
      <c r="AN56" s="102" t="s">
        <v>840</v>
      </c>
      <c r="AO56" s="103" t="s">
        <v>474</v>
      </c>
      <c r="AP56" s="98" t="s">
        <v>109</v>
      </c>
      <c r="AQ56" s="98">
        <v>18.63716814159292</v>
      </c>
      <c r="AR56" s="98">
        <v>16.2</v>
      </c>
      <c r="AS56" s="98" t="s">
        <v>109</v>
      </c>
      <c r="AT56" s="98">
        <v>12.283200000000001</v>
      </c>
      <c r="AU56" s="98">
        <v>3.6</v>
      </c>
      <c r="AV56" s="98">
        <v>11</v>
      </c>
      <c r="AW56" s="98">
        <v>2.2567409144196953</v>
      </c>
      <c r="AX56" s="98">
        <v>11</v>
      </c>
      <c r="AY56" s="98">
        <v>3.3</v>
      </c>
      <c r="AZ56" s="98">
        <v>19.672566371681416</v>
      </c>
      <c r="BA56" s="98">
        <v>17.100000000000001</v>
      </c>
      <c r="BB56" s="98" t="s">
        <v>109</v>
      </c>
      <c r="BC56" s="98">
        <v>13.511520000000001</v>
      </c>
      <c r="BD56" s="59">
        <v>3.9600000000000004</v>
      </c>
    </row>
    <row r="57" spans="2:56" ht="15.75" thickBot="1">
      <c r="B57" s="1">
        <v>15065</v>
      </c>
      <c r="C57" s="1" t="s">
        <v>653</v>
      </c>
    </row>
    <row r="58" spans="2:56" ht="26.25" thickBot="1">
      <c r="B58" s="1">
        <v>15066</v>
      </c>
      <c r="C58" s="1" t="s">
        <v>653</v>
      </c>
      <c r="G58" s="80" t="s">
        <v>487</v>
      </c>
      <c r="H58" s="81" t="s">
        <v>841</v>
      </c>
      <c r="I58" s="67" t="s">
        <v>478</v>
      </c>
      <c r="J58" s="67" t="s">
        <v>480</v>
      </c>
      <c r="K58" s="67" t="s">
        <v>478</v>
      </c>
      <c r="L58" s="67" t="s">
        <v>480</v>
      </c>
      <c r="M58" s="67" t="s">
        <v>478</v>
      </c>
      <c r="N58" s="67" t="s">
        <v>480</v>
      </c>
      <c r="O58" s="67" t="s">
        <v>478</v>
      </c>
      <c r="P58" s="68" t="s">
        <v>480</v>
      </c>
    </row>
    <row r="59" spans="2:56" ht="15">
      <c r="B59" s="1">
        <v>15067</v>
      </c>
      <c r="C59" s="1" t="s">
        <v>653</v>
      </c>
      <c r="G59" s="82"/>
      <c r="H59" s="79"/>
      <c r="I59" s="69">
        <v>900</v>
      </c>
      <c r="J59" s="69">
        <v>900</v>
      </c>
      <c r="K59" s="69">
        <v>1200</v>
      </c>
      <c r="L59" s="69">
        <v>1200</v>
      </c>
      <c r="M59" s="69">
        <v>1800</v>
      </c>
      <c r="N59" s="69">
        <v>1800</v>
      </c>
      <c r="O59" s="69">
        <v>3600</v>
      </c>
      <c r="P59" s="70">
        <v>3600</v>
      </c>
      <c r="AN59" s="705" t="s">
        <v>842</v>
      </c>
      <c r="AO59" s="706"/>
      <c r="AP59" s="706"/>
      <c r="AQ59" s="706"/>
      <c r="AR59" s="706"/>
      <c r="AS59" s="706"/>
      <c r="AT59" s="706"/>
      <c r="AU59" s="706"/>
      <c r="AV59" s="706"/>
      <c r="AW59" s="706"/>
      <c r="AX59" s="706"/>
      <c r="AY59" s="706"/>
      <c r="AZ59" s="706"/>
      <c r="BA59" s="706"/>
      <c r="BB59" s="706"/>
      <c r="BC59" s="706"/>
      <c r="BD59" s="707"/>
    </row>
    <row r="60" spans="2:56" ht="15">
      <c r="B60" s="1">
        <v>15068</v>
      </c>
      <c r="C60" s="1" t="s">
        <v>653</v>
      </c>
      <c r="G60" s="71">
        <v>1</v>
      </c>
      <c r="H60" s="72">
        <v>65</v>
      </c>
      <c r="I60" s="73">
        <v>0.755</v>
      </c>
      <c r="J60" s="73">
        <v>0.755</v>
      </c>
      <c r="K60" s="73">
        <v>0.82499999999999996</v>
      </c>
      <c r="L60" s="73">
        <v>0.82</v>
      </c>
      <c r="M60" s="73">
        <v>0.85499999999999998</v>
      </c>
      <c r="N60" s="73">
        <v>0.85499999999999998</v>
      </c>
      <c r="O60" s="73">
        <v>0.77</v>
      </c>
      <c r="P60" s="74">
        <v>0.77</v>
      </c>
      <c r="AN60" s="826"/>
      <c r="AO60" s="827"/>
      <c r="AP60" s="776" t="s">
        <v>843</v>
      </c>
      <c r="AQ60" s="776"/>
      <c r="AR60" s="776"/>
      <c r="AS60" s="776"/>
      <c r="AT60" s="776"/>
      <c r="AU60" s="776"/>
      <c r="AV60" s="776"/>
      <c r="AW60" s="776"/>
      <c r="AX60" s="776"/>
      <c r="AY60" s="776"/>
      <c r="AZ60" s="776"/>
      <c r="BA60" s="776"/>
      <c r="BB60" s="776" t="s">
        <v>521</v>
      </c>
      <c r="BC60" s="776"/>
      <c r="BD60" s="828"/>
    </row>
    <row r="61" spans="2:56" ht="15">
      <c r="B61" s="1">
        <v>15069</v>
      </c>
      <c r="C61" s="1" t="s">
        <v>653</v>
      </c>
      <c r="G61" s="71">
        <v>1.5</v>
      </c>
      <c r="H61" s="72">
        <v>65</v>
      </c>
      <c r="I61" s="73">
        <v>0.78500000000000003</v>
      </c>
      <c r="J61" s="73">
        <v>0.77</v>
      </c>
      <c r="K61" s="73">
        <v>0.875</v>
      </c>
      <c r="L61" s="73">
        <v>0.86499999999999999</v>
      </c>
      <c r="M61" s="73">
        <v>0.86499999999999999</v>
      </c>
      <c r="N61" s="73">
        <v>0.86499999999999999</v>
      </c>
      <c r="O61" s="73">
        <v>0.84</v>
      </c>
      <c r="P61" s="74">
        <v>0.84</v>
      </c>
      <c r="AN61" s="730"/>
      <c r="AO61" s="731"/>
      <c r="AP61" s="464" t="s">
        <v>844</v>
      </c>
      <c r="AQ61" s="464" t="s">
        <v>845</v>
      </c>
      <c r="AR61" s="464" t="s">
        <v>529</v>
      </c>
      <c r="AS61" s="464" t="s">
        <v>55</v>
      </c>
      <c r="AT61" s="464" t="s">
        <v>846</v>
      </c>
      <c r="AU61" s="464" t="s">
        <v>844</v>
      </c>
      <c r="AV61" s="464" t="s">
        <v>847</v>
      </c>
      <c r="AW61" s="464" t="s">
        <v>243</v>
      </c>
      <c r="AX61" s="464" t="s">
        <v>539</v>
      </c>
      <c r="AY61" s="464" t="s">
        <v>848</v>
      </c>
      <c r="AZ61" s="464" t="s">
        <v>486</v>
      </c>
      <c r="BA61" s="464" t="s">
        <v>849</v>
      </c>
      <c r="BB61" s="776"/>
      <c r="BC61" s="776"/>
      <c r="BD61" s="828"/>
    </row>
    <row r="62" spans="2:56" ht="15">
      <c r="B62" s="1">
        <v>15071</v>
      </c>
      <c r="C62" s="1" t="s">
        <v>653</v>
      </c>
      <c r="G62" s="71">
        <v>2</v>
      </c>
      <c r="H62" s="72">
        <v>65</v>
      </c>
      <c r="I62" s="73">
        <v>0.84</v>
      </c>
      <c r="J62" s="73">
        <v>0.86499999999999999</v>
      </c>
      <c r="K62" s="73">
        <v>0.88500000000000001</v>
      </c>
      <c r="L62" s="73">
        <v>0.875</v>
      </c>
      <c r="M62" s="73">
        <v>0.86499999999999999</v>
      </c>
      <c r="N62" s="73">
        <v>0.86499999999999999</v>
      </c>
      <c r="O62" s="73">
        <v>0.85499999999999998</v>
      </c>
      <c r="P62" s="74">
        <v>0.85499999999999998</v>
      </c>
      <c r="AN62" s="92" t="s">
        <v>103</v>
      </c>
      <c r="AO62" s="4" t="s">
        <v>104</v>
      </c>
      <c r="AP62" s="454" t="s">
        <v>251</v>
      </c>
      <c r="AQ62" s="454" t="s">
        <v>251</v>
      </c>
      <c r="AR62" s="454" t="s">
        <v>251</v>
      </c>
      <c r="AS62" s="454" t="s">
        <v>251</v>
      </c>
      <c r="AT62" s="454" t="s">
        <v>251</v>
      </c>
      <c r="AU62" s="454" t="s">
        <v>365</v>
      </c>
      <c r="AV62" s="454" t="s">
        <v>365</v>
      </c>
      <c r="AW62" s="454" t="s">
        <v>365</v>
      </c>
      <c r="AX62" s="454" t="s">
        <v>365</v>
      </c>
      <c r="AY62" s="454" t="s">
        <v>365</v>
      </c>
      <c r="AZ62" s="454" t="s">
        <v>365</v>
      </c>
      <c r="BA62" s="454" t="s">
        <v>365</v>
      </c>
      <c r="BB62" s="454" t="s">
        <v>246</v>
      </c>
      <c r="BC62" s="454" t="s">
        <v>206</v>
      </c>
      <c r="BD62" s="455" t="s">
        <v>471</v>
      </c>
    </row>
    <row r="63" spans="2:56" ht="15">
      <c r="B63" s="1">
        <v>15072</v>
      </c>
      <c r="C63" s="1" t="s">
        <v>653</v>
      </c>
      <c r="G63" s="71">
        <v>3</v>
      </c>
      <c r="H63" s="72">
        <v>67</v>
      </c>
      <c r="I63" s="73">
        <v>0.85499999999999998</v>
      </c>
      <c r="J63" s="73">
        <v>0.875</v>
      </c>
      <c r="K63" s="73">
        <v>0.89500000000000002</v>
      </c>
      <c r="L63" s="73">
        <v>0.88500000000000001</v>
      </c>
      <c r="M63" s="73">
        <v>0.89500000000000002</v>
      </c>
      <c r="N63" s="73">
        <v>0.89500000000000002</v>
      </c>
      <c r="O63" s="73">
        <v>0.86499999999999999</v>
      </c>
      <c r="P63" s="74">
        <v>0.85499999999999998</v>
      </c>
      <c r="AN63" s="65" t="s">
        <v>516</v>
      </c>
      <c r="AO63" s="108" t="s">
        <v>527</v>
      </c>
      <c r="AP63" s="72">
        <v>13</v>
      </c>
      <c r="AQ63" s="72">
        <v>13</v>
      </c>
      <c r="AR63" s="72">
        <v>13</v>
      </c>
      <c r="AS63" s="72">
        <v>11.3</v>
      </c>
      <c r="AT63" s="72" t="s">
        <v>850</v>
      </c>
      <c r="AU63" s="72">
        <v>7.7</v>
      </c>
      <c r="AV63" s="72">
        <v>7.7</v>
      </c>
      <c r="AW63" s="72">
        <v>3.4119999999999999</v>
      </c>
      <c r="AX63" s="72">
        <v>3.2410000000000001</v>
      </c>
      <c r="AY63" s="72">
        <v>3.4129999999999998</v>
      </c>
      <c r="AZ63" s="72">
        <v>3.4129999999999998</v>
      </c>
      <c r="BA63" s="72" t="s">
        <v>851</v>
      </c>
      <c r="BB63" s="72">
        <v>14.5</v>
      </c>
      <c r="BC63" s="72">
        <v>12</v>
      </c>
      <c r="BD63" s="209">
        <v>10</v>
      </c>
    </row>
    <row r="64" spans="2:56" ht="15.75" thickBot="1">
      <c r="B64" s="1">
        <v>15074</v>
      </c>
      <c r="C64" s="1" t="s">
        <v>653</v>
      </c>
      <c r="G64" s="71">
        <v>5</v>
      </c>
      <c r="H64" s="72">
        <v>70</v>
      </c>
      <c r="I64" s="73">
        <v>0.86499999999999999</v>
      </c>
      <c r="J64" s="73">
        <v>0.88500000000000001</v>
      </c>
      <c r="K64" s="73">
        <v>0.89500000000000002</v>
      </c>
      <c r="L64" s="73">
        <v>0.89500000000000002</v>
      </c>
      <c r="M64" s="73">
        <v>0.89500000000000002</v>
      </c>
      <c r="N64" s="73">
        <v>0.89500000000000002</v>
      </c>
      <c r="O64" s="73">
        <v>0.88500000000000001</v>
      </c>
      <c r="P64" s="74">
        <v>0.86499999999999999</v>
      </c>
      <c r="AN64" s="66" t="s">
        <v>852</v>
      </c>
      <c r="AO64" s="109" t="s">
        <v>531</v>
      </c>
      <c r="AP64" s="76">
        <v>13</v>
      </c>
      <c r="AQ64" s="76">
        <v>13</v>
      </c>
      <c r="AR64" s="76">
        <v>13</v>
      </c>
      <c r="AS64" s="76">
        <v>11.3</v>
      </c>
      <c r="AT64" s="76" t="s">
        <v>850</v>
      </c>
      <c r="AU64" s="76">
        <v>7.7</v>
      </c>
      <c r="AV64" s="76">
        <v>7.7</v>
      </c>
      <c r="AW64" s="76">
        <v>3.4119999999999999</v>
      </c>
      <c r="AX64" s="76">
        <v>3.2410000000000001</v>
      </c>
      <c r="AY64" s="76">
        <v>3.4129999999999998</v>
      </c>
      <c r="AZ64" s="76">
        <v>3.4129999999999998</v>
      </c>
      <c r="BA64" s="76" t="s">
        <v>851</v>
      </c>
      <c r="BB64" s="76">
        <v>14.5</v>
      </c>
      <c r="BC64" s="76">
        <v>12</v>
      </c>
      <c r="BD64" s="210">
        <v>10</v>
      </c>
    </row>
    <row r="65" spans="2:55" ht="15">
      <c r="B65" s="1">
        <v>15075</v>
      </c>
      <c r="C65" s="1" t="s">
        <v>653</v>
      </c>
      <c r="G65" s="71">
        <v>7.5</v>
      </c>
      <c r="H65" s="72">
        <v>73</v>
      </c>
      <c r="I65" s="73">
        <v>0.86499999999999999</v>
      </c>
      <c r="J65" s="73">
        <v>0.89500000000000002</v>
      </c>
      <c r="K65" s="73">
        <v>0.91</v>
      </c>
      <c r="L65" s="73">
        <v>0.90200000000000002</v>
      </c>
      <c r="M65" s="73">
        <v>0.91700000000000004</v>
      </c>
      <c r="N65" s="73">
        <v>0.91</v>
      </c>
      <c r="O65" s="73">
        <v>0.89500000000000002</v>
      </c>
      <c r="P65" s="74">
        <v>0.88500000000000001</v>
      </c>
    </row>
    <row r="66" spans="2:55" ht="15">
      <c r="B66" s="1">
        <v>15076</v>
      </c>
      <c r="C66" s="1" t="s">
        <v>653</v>
      </c>
      <c r="G66" s="71">
        <v>10</v>
      </c>
      <c r="H66" s="72">
        <v>75</v>
      </c>
      <c r="I66" s="73">
        <v>0.89500000000000002</v>
      </c>
      <c r="J66" s="73">
        <v>0.90200000000000002</v>
      </c>
      <c r="K66" s="73">
        <v>0.91</v>
      </c>
      <c r="L66" s="73">
        <v>0.91700000000000004</v>
      </c>
      <c r="M66" s="73">
        <v>0.91700000000000004</v>
      </c>
      <c r="N66" s="73">
        <v>0.91700000000000004</v>
      </c>
      <c r="O66" s="73">
        <v>0.90200000000000002</v>
      </c>
      <c r="P66" s="74">
        <v>0.89500000000000002</v>
      </c>
    </row>
    <row r="67" spans="2:55" ht="15">
      <c r="B67" s="1">
        <v>15077</v>
      </c>
      <c r="C67" s="1" t="s">
        <v>653</v>
      </c>
      <c r="G67" s="71">
        <v>15</v>
      </c>
      <c r="H67" s="72">
        <v>77</v>
      </c>
      <c r="I67" s="73">
        <v>0.89500000000000002</v>
      </c>
      <c r="J67" s="73">
        <v>0.90200000000000002</v>
      </c>
      <c r="K67" s="73">
        <v>0.91700000000000004</v>
      </c>
      <c r="L67" s="73">
        <v>0.91700000000000004</v>
      </c>
      <c r="M67" s="73">
        <v>0.92400000000000004</v>
      </c>
      <c r="N67" s="73">
        <v>0.93</v>
      </c>
      <c r="O67" s="73">
        <v>0.91</v>
      </c>
      <c r="P67" s="74">
        <v>0.90200000000000002</v>
      </c>
    </row>
    <row r="68" spans="2:55" ht="15.75" thickBot="1">
      <c r="B68" s="1">
        <v>15078</v>
      </c>
      <c r="C68" s="1" t="s">
        <v>653</v>
      </c>
      <c r="G68" s="75">
        <v>20</v>
      </c>
      <c r="H68" s="76">
        <v>77</v>
      </c>
      <c r="I68" s="77">
        <v>0.90200000000000002</v>
      </c>
      <c r="J68" s="77">
        <v>0.91</v>
      </c>
      <c r="K68" s="77">
        <v>0.91700000000000004</v>
      </c>
      <c r="L68" s="77">
        <v>0.92400000000000004</v>
      </c>
      <c r="M68" s="77">
        <v>0.93</v>
      </c>
      <c r="N68" s="77">
        <v>0.93</v>
      </c>
      <c r="O68" s="77">
        <v>0.91</v>
      </c>
      <c r="P68" s="78">
        <v>0.91</v>
      </c>
      <c r="AM68"/>
      <c r="AN68"/>
      <c r="AO68"/>
      <c r="AP68"/>
      <c r="AQ68"/>
      <c r="AR68"/>
      <c r="AS68"/>
      <c r="AT68"/>
      <c r="AU68"/>
      <c r="AV68"/>
      <c r="AW68"/>
      <c r="AX68"/>
      <c r="AY68"/>
      <c r="AZ68"/>
      <c r="BA68"/>
      <c r="BB68"/>
      <c r="BC68"/>
    </row>
    <row r="69" spans="2:55" ht="15">
      <c r="B69" s="1">
        <v>15081</v>
      </c>
      <c r="C69" s="1" t="s">
        <v>653</v>
      </c>
      <c r="AM69"/>
      <c r="AN69"/>
      <c r="AO69"/>
      <c r="AP69"/>
      <c r="AQ69"/>
      <c r="AR69"/>
      <c r="AS69"/>
      <c r="AT69"/>
      <c r="AU69"/>
      <c r="AV69"/>
      <c r="AW69"/>
      <c r="AX69"/>
      <c r="AY69"/>
      <c r="AZ69"/>
      <c r="BA69"/>
      <c r="BB69"/>
      <c r="BC69"/>
    </row>
    <row r="70" spans="2:55" ht="15">
      <c r="B70" s="1">
        <v>15082</v>
      </c>
      <c r="C70" s="1" t="s">
        <v>653</v>
      </c>
      <c r="AM70"/>
      <c r="AN70"/>
      <c r="AO70"/>
      <c r="AP70"/>
      <c r="AQ70"/>
      <c r="AR70"/>
      <c r="AS70"/>
      <c r="AT70"/>
      <c r="AU70"/>
      <c r="AV70"/>
      <c r="AW70"/>
      <c r="AX70"/>
      <c r="AY70"/>
      <c r="AZ70"/>
      <c r="BA70"/>
      <c r="BB70"/>
      <c r="BC70"/>
    </row>
    <row r="71" spans="2:55" ht="15">
      <c r="B71" s="1">
        <v>15083</v>
      </c>
      <c r="C71" s="1" t="s">
        <v>653</v>
      </c>
      <c r="AM71"/>
      <c r="AN71"/>
      <c r="AO71"/>
      <c r="AP71"/>
      <c r="AQ71"/>
      <c r="AR71"/>
      <c r="AS71"/>
      <c r="AT71"/>
      <c r="AU71"/>
      <c r="AV71"/>
      <c r="AW71"/>
      <c r="AX71"/>
      <c r="AY71"/>
      <c r="AZ71"/>
      <c r="BA71"/>
      <c r="BB71"/>
      <c r="BC71"/>
    </row>
    <row r="72" spans="2:55" ht="30">
      <c r="B72" s="1">
        <v>15084</v>
      </c>
      <c r="C72" s="1" t="s">
        <v>653</v>
      </c>
      <c r="G72" s="125" t="s">
        <v>853</v>
      </c>
      <c r="H72" s="125" t="s">
        <v>854</v>
      </c>
      <c r="I72" s="126" t="s">
        <v>134</v>
      </c>
      <c r="K72" s="140" t="s">
        <v>855</v>
      </c>
      <c r="AM72"/>
      <c r="AN72"/>
      <c r="AO72"/>
      <c r="AP72"/>
      <c r="AQ72"/>
      <c r="AR72"/>
      <c r="AS72"/>
      <c r="AT72"/>
      <c r="AU72"/>
      <c r="AV72"/>
      <c r="AW72"/>
      <c r="AX72"/>
      <c r="AY72"/>
      <c r="AZ72"/>
      <c r="BA72"/>
      <c r="BB72"/>
      <c r="BC72"/>
    </row>
    <row r="73" spans="2:55" ht="15">
      <c r="B73" s="1">
        <v>15085</v>
      </c>
      <c r="C73" s="1" t="s">
        <v>653</v>
      </c>
      <c r="G73" s="85" t="s">
        <v>856</v>
      </c>
      <c r="H73" s="1" t="s">
        <v>857</v>
      </c>
      <c r="I73" s="119" t="s">
        <v>858</v>
      </c>
      <c r="K73" s="108" t="s">
        <v>268</v>
      </c>
      <c r="AM73"/>
      <c r="AN73"/>
      <c r="AO73"/>
      <c r="AP73"/>
      <c r="AQ73"/>
      <c r="AR73"/>
      <c r="AS73"/>
      <c r="AT73"/>
      <c r="AU73"/>
      <c r="AV73"/>
      <c r="AW73"/>
      <c r="AX73"/>
      <c r="AY73"/>
      <c r="AZ73"/>
      <c r="BA73"/>
      <c r="BB73"/>
      <c r="BC73"/>
    </row>
    <row r="74" spans="2:55" ht="15">
      <c r="B74" s="1">
        <v>15086</v>
      </c>
      <c r="C74" s="1" t="s">
        <v>653</v>
      </c>
      <c r="G74" s="85" t="s">
        <v>859</v>
      </c>
      <c r="H74" s="1" t="s">
        <v>860</v>
      </c>
      <c r="I74" s="119" t="s">
        <v>861</v>
      </c>
      <c r="K74" s="108" t="s">
        <v>272</v>
      </c>
    </row>
    <row r="75" spans="2:55" ht="15">
      <c r="B75" s="1">
        <v>15087</v>
      </c>
      <c r="C75" s="1" t="s">
        <v>653</v>
      </c>
      <c r="G75" s="85" t="s">
        <v>862</v>
      </c>
      <c r="H75" s="1" t="s">
        <v>863</v>
      </c>
      <c r="I75" s="119" t="s">
        <v>864</v>
      </c>
      <c r="K75" s="108" t="s">
        <v>276</v>
      </c>
    </row>
    <row r="76" spans="2:55" ht="15">
      <c r="B76" s="1">
        <v>15088</v>
      </c>
      <c r="C76" s="1" t="s">
        <v>653</v>
      </c>
      <c r="G76" s="85" t="s">
        <v>865</v>
      </c>
      <c r="H76" s="1" t="s">
        <v>866</v>
      </c>
      <c r="I76" s="119" t="s">
        <v>867</v>
      </c>
      <c r="K76" s="108" t="s">
        <v>282</v>
      </c>
    </row>
    <row r="77" spans="2:55" ht="15">
      <c r="B77" s="1">
        <v>15089</v>
      </c>
      <c r="C77" s="1" t="s">
        <v>653</v>
      </c>
      <c r="G77" s="85" t="s">
        <v>868</v>
      </c>
      <c r="H77" s="1" t="s">
        <v>869</v>
      </c>
      <c r="I77" s="119" t="s">
        <v>870</v>
      </c>
      <c r="K77" s="108" t="s">
        <v>150</v>
      </c>
    </row>
    <row r="78" spans="2:55" ht="15">
      <c r="B78" s="1">
        <v>15090</v>
      </c>
      <c r="C78" s="1" t="s">
        <v>653</v>
      </c>
      <c r="G78" s="85" t="s">
        <v>871</v>
      </c>
      <c r="H78" s="1" t="s">
        <v>872</v>
      </c>
      <c r="I78" s="119" t="s">
        <v>873</v>
      </c>
      <c r="K78" s="108" t="s">
        <v>375</v>
      </c>
    </row>
    <row r="79" spans="2:55" ht="15">
      <c r="B79" s="1">
        <v>15091</v>
      </c>
      <c r="C79" s="1" t="s">
        <v>653</v>
      </c>
      <c r="G79" s="85" t="s">
        <v>874</v>
      </c>
      <c r="H79" s="1" t="s">
        <v>875</v>
      </c>
      <c r="I79" s="119" t="s">
        <v>876</v>
      </c>
      <c r="K79" s="108" t="s">
        <v>877</v>
      </c>
    </row>
    <row r="80" spans="2:55" ht="15">
      <c r="B80" s="1">
        <v>15095</v>
      </c>
      <c r="C80" s="1" t="s">
        <v>653</v>
      </c>
      <c r="G80" s="85" t="s">
        <v>878</v>
      </c>
      <c r="H80" s="1" t="s">
        <v>879</v>
      </c>
      <c r="I80" s="119" t="s">
        <v>880</v>
      </c>
      <c r="K80" s="108" t="s">
        <v>881</v>
      </c>
    </row>
    <row r="81" spans="2:11" ht="15">
      <c r="B81" s="1">
        <v>15096</v>
      </c>
      <c r="C81" s="1" t="s">
        <v>653</v>
      </c>
      <c r="G81" s="85" t="s">
        <v>882</v>
      </c>
      <c r="H81" s="1" t="s">
        <v>883</v>
      </c>
      <c r="I81" s="119" t="s">
        <v>884</v>
      </c>
      <c r="K81" s="108" t="s">
        <v>459</v>
      </c>
    </row>
    <row r="82" spans="2:11" ht="15">
      <c r="B82" s="1">
        <v>15101</v>
      </c>
      <c r="C82" s="1" t="s">
        <v>653</v>
      </c>
      <c r="G82" s="85" t="s">
        <v>885</v>
      </c>
      <c r="H82" s="1" t="s">
        <v>886</v>
      </c>
      <c r="I82" s="119" t="s">
        <v>887</v>
      </c>
      <c r="K82" s="108" t="s">
        <v>528</v>
      </c>
    </row>
    <row r="83" spans="2:11" ht="15">
      <c r="B83" s="1">
        <v>15102</v>
      </c>
      <c r="C83" s="1" t="s">
        <v>653</v>
      </c>
      <c r="G83" s="85" t="s">
        <v>888</v>
      </c>
      <c r="H83" s="1" t="s">
        <v>889</v>
      </c>
      <c r="I83" s="119" t="s">
        <v>890</v>
      </c>
      <c r="K83" s="108" t="s">
        <v>56</v>
      </c>
    </row>
    <row r="84" spans="2:11" ht="15">
      <c r="B84" s="1">
        <v>15104</v>
      </c>
      <c r="C84" s="1" t="s">
        <v>653</v>
      </c>
      <c r="G84" s="85" t="s">
        <v>891</v>
      </c>
      <c r="H84" s="1" t="s">
        <v>892</v>
      </c>
      <c r="I84" s="119" t="s">
        <v>893</v>
      </c>
      <c r="K84" s="108" t="s">
        <v>57</v>
      </c>
    </row>
    <row r="85" spans="2:11" ht="15">
      <c r="B85" s="1">
        <v>15106</v>
      </c>
      <c r="C85" s="1" t="s">
        <v>653</v>
      </c>
      <c r="G85" s="85" t="s">
        <v>894</v>
      </c>
      <c r="H85" s="1" t="s">
        <v>895</v>
      </c>
      <c r="I85" s="119" t="s">
        <v>896</v>
      </c>
      <c r="K85" s="108" t="s">
        <v>897</v>
      </c>
    </row>
    <row r="86" spans="2:11" ht="15">
      <c r="B86" s="1">
        <v>15108</v>
      </c>
      <c r="C86" s="1" t="s">
        <v>653</v>
      </c>
      <c r="G86" s="85" t="s">
        <v>898</v>
      </c>
      <c r="H86" s="1" t="s">
        <v>899</v>
      </c>
      <c r="I86" s="119" t="s">
        <v>900</v>
      </c>
    </row>
    <row r="87" spans="2:11" ht="15">
      <c r="B87" s="1">
        <v>15110</v>
      </c>
      <c r="C87" s="1" t="s">
        <v>653</v>
      </c>
      <c r="G87" s="85" t="s">
        <v>901</v>
      </c>
      <c r="H87" s="1" t="s">
        <v>902</v>
      </c>
      <c r="I87" s="119" t="s">
        <v>903</v>
      </c>
    </row>
    <row r="88" spans="2:11" ht="15">
      <c r="B88" s="1">
        <v>15112</v>
      </c>
      <c r="C88" s="1" t="s">
        <v>653</v>
      </c>
      <c r="G88" s="85" t="s">
        <v>904</v>
      </c>
      <c r="H88" s="1" t="s">
        <v>905</v>
      </c>
      <c r="I88" s="119" t="s">
        <v>906</v>
      </c>
    </row>
    <row r="89" spans="2:11" ht="15">
      <c r="B89" s="1">
        <v>15116</v>
      </c>
      <c r="C89" s="1" t="s">
        <v>653</v>
      </c>
      <c r="G89" s="85" t="s">
        <v>907</v>
      </c>
      <c r="H89" s="1" t="s">
        <v>908</v>
      </c>
      <c r="I89" s="119" t="s">
        <v>909</v>
      </c>
    </row>
    <row r="90" spans="2:11" ht="15">
      <c r="B90" s="1">
        <v>15120</v>
      </c>
      <c r="C90" s="1" t="s">
        <v>653</v>
      </c>
      <c r="G90" s="85" t="s">
        <v>910</v>
      </c>
      <c r="H90" s="1" t="s">
        <v>911</v>
      </c>
      <c r="I90" s="119" t="s">
        <v>912</v>
      </c>
    </row>
    <row r="91" spans="2:11" ht="15">
      <c r="B91" s="1">
        <v>15122</v>
      </c>
      <c r="C91" s="1" t="s">
        <v>653</v>
      </c>
      <c r="G91" s="85" t="s">
        <v>913</v>
      </c>
      <c r="H91" s="1" t="s">
        <v>149</v>
      </c>
      <c r="I91" s="119" t="s">
        <v>148</v>
      </c>
    </row>
    <row r="92" spans="2:11" ht="15">
      <c r="B92" s="1">
        <v>15123</v>
      </c>
      <c r="C92" s="1" t="s">
        <v>653</v>
      </c>
      <c r="G92" s="85" t="s">
        <v>914</v>
      </c>
      <c r="H92" s="1" t="s">
        <v>153</v>
      </c>
      <c r="I92" s="119" t="s">
        <v>152</v>
      </c>
    </row>
    <row r="93" spans="2:11" ht="15">
      <c r="B93" s="1">
        <v>15126</v>
      </c>
      <c r="C93" s="1" t="s">
        <v>653</v>
      </c>
      <c r="G93" s="85" t="s">
        <v>915</v>
      </c>
      <c r="H93" s="1" t="s">
        <v>156</v>
      </c>
      <c r="I93" s="119" t="s">
        <v>155</v>
      </c>
    </row>
    <row r="94" spans="2:11" ht="15">
      <c r="B94" s="1">
        <v>15127</v>
      </c>
      <c r="C94" s="1" t="s">
        <v>653</v>
      </c>
      <c r="G94" s="85" t="s">
        <v>916</v>
      </c>
      <c r="H94" s="1" t="s">
        <v>917</v>
      </c>
      <c r="I94" s="119" t="s">
        <v>158</v>
      </c>
    </row>
    <row r="95" spans="2:11" ht="15">
      <c r="B95" s="1">
        <v>15129</v>
      </c>
      <c r="C95" s="1" t="s">
        <v>653</v>
      </c>
      <c r="G95" s="85" t="s">
        <v>918</v>
      </c>
      <c r="H95" s="1" t="s">
        <v>165</v>
      </c>
      <c r="I95" s="119" t="s">
        <v>164</v>
      </c>
    </row>
    <row r="96" spans="2:11" ht="15">
      <c r="B96" s="1">
        <v>15130</v>
      </c>
      <c r="C96" s="1" t="s">
        <v>653</v>
      </c>
      <c r="G96" s="85" t="s">
        <v>919</v>
      </c>
      <c r="H96" s="1" t="s">
        <v>167</v>
      </c>
      <c r="I96" s="119" t="s">
        <v>166</v>
      </c>
    </row>
    <row r="97" spans="2:9" ht="15">
      <c r="B97" s="1">
        <v>15131</v>
      </c>
      <c r="C97" s="1" t="s">
        <v>653</v>
      </c>
      <c r="G97" s="85" t="s">
        <v>920</v>
      </c>
      <c r="H97" s="1" t="s">
        <v>921</v>
      </c>
      <c r="I97" s="119" t="s">
        <v>170</v>
      </c>
    </row>
    <row r="98" spans="2:9" ht="15">
      <c r="B98" s="1">
        <v>15132</v>
      </c>
      <c r="C98" s="1" t="s">
        <v>653</v>
      </c>
      <c r="G98" s="85" t="s">
        <v>922</v>
      </c>
      <c r="H98" s="1" t="s">
        <v>175</v>
      </c>
      <c r="I98" s="119" t="s">
        <v>174</v>
      </c>
    </row>
    <row r="99" spans="2:9" ht="15">
      <c r="B99" s="1">
        <v>15133</v>
      </c>
      <c r="C99" s="1" t="s">
        <v>653</v>
      </c>
      <c r="G99" s="85" t="s">
        <v>923</v>
      </c>
      <c r="H99" s="1" t="s">
        <v>924</v>
      </c>
      <c r="I99" s="119" t="s">
        <v>925</v>
      </c>
    </row>
    <row r="100" spans="2:9" ht="15">
      <c r="B100" s="1">
        <v>15134</v>
      </c>
      <c r="C100" s="1" t="s">
        <v>653</v>
      </c>
      <c r="G100" s="85" t="s">
        <v>926</v>
      </c>
      <c r="H100" s="1" t="s">
        <v>927</v>
      </c>
      <c r="I100" s="119" t="s">
        <v>928</v>
      </c>
    </row>
    <row r="101" spans="2:9" ht="15">
      <c r="B101" s="1">
        <v>15135</v>
      </c>
      <c r="C101" s="1" t="s">
        <v>653</v>
      </c>
      <c r="G101" s="85" t="s">
        <v>929</v>
      </c>
      <c r="H101" s="1" t="s">
        <v>930</v>
      </c>
      <c r="I101" s="119" t="s">
        <v>931</v>
      </c>
    </row>
    <row r="102" spans="2:9" ht="15">
      <c r="B102" s="1">
        <v>15136</v>
      </c>
      <c r="C102" s="1" t="s">
        <v>653</v>
      </c>
      <c r="G102" s="85" t="s">
        <v>932</v>
      </c>
      <c r="H102" s="1" t="s">
        <v>933</v>
      </c>
      <c r="I102" s="119" t="s">
        <v>934</v>
      </c>
    </row>
    <row r="103" spans="2:9" ht="15">
      <c r="B103" s="1">
        <v>15137</v>
      </c>
      <c r="C103" s="1" t="s">
        <v>653</v>
      </c>
      <c r="G103" s="85" t="s">
        <v>935</v>
      </c>
      <c r="H103" s="1" t="s">
        <v>936</v>
      </c>
      <c r="I103" s="119" t="s">
        <v>937</v>
      </c>
    </row>
    <row r="104" spans="2:9" ht="15">
      <c r="B104" s="1">
        <v>15139</v>
      </c>
      <c r="C104" s="1" t="s">
        <v>653</v>
      </c>
      <c r="G104" s="85" t="s">
        <v>938</v>
      </c>
      <c r="H104" s="1" t="s">
        <v>458</v>
      </c>
      <c r="I104" s="119" t="s">
        <v>939</v>
      </c>
    </row>
    <row r="105" spans="2:9" ht="15">
      <c r="B105" s="1">
        <v>15140</v>
      </c>
      <c r="C105" s="1" t="s">
        <v>653</v>
      </c>
      <c r="G105" s="85" t="s">
        <v>940</v>
      </c>
      <c r="H105" s="1" t="s">
        <v>461</v>
      </c>
      <c r="I105" s="119" t="s">
        <v>941</v>
      </c>
    </row>
    <row r="106" spans="2:9" ht="15">
      <c r="B106" s="1">
        <v>15142</v>
      </c>
      <c r="C106" s="1" t="s">
        <v>653</v>
      </c>
      <c r="G106" s="85" t="s">
        <v>942</v>
      </c>
      <c r="H106" s="1" t="s">
        <v>464</v>
      </c>
      <c r="I106" s="1" t="s">
        <v>943</v>
      </c>
    </row>
    <row r="107" spans="2:9" ht="15">
      <c r="B107" s="1">
        <v>15143</v>
      </c>
      <c r="C107" s="1" t="s">
        <v>653</v>
      </c>
      <c r="G107" s="85" t="s">
        <v>944</v>
      </c>
      <c r="H107" s="1" t="s">
        <v>464</v>
      </c>
      <c r="I107" s="119" t="s">
        <v>943</v>
      </c>
    </row>
    <row r="108" spans="2:9" ht="15">
      <c r="B108" s="1">
        <v>15144</v>
      </c>
      <c r="C108" s="1" t="s">
        <v>653</v>
      </c>
      <c r="G108" s="85" t="s">
        <v>945</v>
      </c>
      <c r="H108" s="1" t="s">
        <v>467</v>
      </c>
      <c r="I108" s="119" t="s">
        <v>946</v>
      </c>
    </row>
    <row r="109" spans="2:9" ht="15">
      <c r="B109" s="1">
        <v>15145</v>
      </c>
      <c r="C109" s="1" t="s">
        <v>653</v>
      </c>
      <c r="G109" s="85" t="s">
        <v>947</v>
      </c>
      <c r="H109" s="1" t="s">
        <v>467</v>
      </c>
      <c r="I109" s="119" t="s">
        <v>946</v>
      </c>
    </row>
    <row r="110" spans="2:9" ht="15">
      <c r="B110" s="1">
        <v>15146</v>
      </c>
      <c r="C110" s="1" t="s">
        <v>653</v>
      </c>
      <c r="G110" s="85" t="s">
        <v>527</v>
      </c>
      <c r="H110" s="1" t="s">
        <v>527</v>
      </c>
      <c r="I110" s="119" t="s">
        <v>948</v>
      </c>
    </row>
    <row r="111" spans="2:9" ht="15">
      <c r="B111" s="1">
        <v>15147</v>
      </c>
      <c r="C111" s="1" t="s">
        <v>653</v>
      </c>
      <c r="G111" s="85" t="s">
        <v>531</v>
      </c>
      <c r="H111" s="1" t="s">
        <v>531</v>
      </c>
      <c r="I111" s="119" t="s">
        <v>949</v>
      </c>
    </row>
    <row r="112" spans="2:9" ht="15">
      <c r="B112" s="1">
        <v>15148</v>
      </c>
      <c r="C112" s="1" t="s">
        <v>653</v>
      </c>
      <c r="G112" s="85" t="s">
        <v>597</v>
      </c>
      <c r="H112" s="1" t="s">
        <v>597</v>
      </c>
      <c r="I112" s="119" t="s">
        <v>950</v>
      </c>
    </row>
    <row r="113" spans="2:9" ht="15">
      <c r="B113" s="1">
        <v>15189</v>
      </c>
      <c r="C113" s="1" t="s">
        <v>653</v>
      </c>
      <c r="G113" s="85" t="s">
        <v>556</v>
      </c>
      <c r="H113" s="1" t="s">
        <v>556</v>
      </c>
      <c r="I113" s="119" t="s">
        <v>951</v>
      </c>
    </row>
    <row r="114" spans="2:9" ht="15">
      <c r="B114" s="1">
        <v>15201</v>
      </c>
      <c r="C114" s="1" t="s">
        <v>653</v>
      </c>
    </row>
    <row r="115" spans="2:9" ht="15">
      <c r="B115" s="1">
        <v>15202</v>
      </c>
      <c r="C115" s="1" t="s">
        <v>653</v>
      </c>
    </row>
    <row r="116" spans="2:9" ht="15">
      <c r="B116" s="1">
        <v>15203</v>
      </c>
      <c r="C116" s="1" t="s">
        <v>653</v>
      </c>
    </row>
    <row r="117" spans="2:9" ht="15">
      <c r="B117" s="1">
        <v>15204</v>
      </c>
      <c r="C117" s="1" t="s">
        <v>653</v>
      </c>
    </row>
    <row r="118" spans="2:9" ht="15">
      <c r="B118" s="1">
        <v>15205</v>
      </c>
      <c r="C118" s="1" t="s">
        <v>653</v>
      </c>
    </row>
    <row r="119" spans="2:9" ht="15">
      <c r="B119" s="1">
        <v>15206</v>
      </c>
      <c r="C119" s="1" t="s">
        <v>653</v>
      </c>
    </row>
    <row r="120" spans="2:9" ht="15">
      <c r="B120" s="1">
        <v>15207</v>
      </c>
      <c r="C120" s="1" t="s">
        <v>653</v>
      </c>
    </row>
    <row r="121" spans="2:9" ht="15">
      <c r="B121" s="1">
        <v>15208</v>
      </c>
      <c r="C121" s="1" t="s">
        <v>653</v>
      </c>
    </row>
    <row r="122" spans="2:9" ht="15">
      <c r="B122" s="1">
        <v>15209</v>
      </c>
      <c r="C122" s="1" t="s">
        <v>653</v>
      </c>
    </row>
    <row r="123" spans="2:9" ht="15">
      <c r="B123" s="1">
        <v>15210</v>
      </c>
      <c r="C123" s="1" t="s">
        <v>653</v>
      </c>
    </row>
    <row r="124" spans="2:9" ht="15">
      <c r="B124" s="1">
        <v>15211</v>
      </c>
      <c r="C124" s="1" t="s">
        <v>653</v>
      </c>
    </row>
    <row r="125" spans="2:9" ht="15">
      <c r="B125" s="1">
        <v>15212</v>
      </c>
      <c r="C125" s="1" t="s">
        <v>653</v>
      </c>
    </row>
    <row r="126" spans="2:9" ht="15">
      <c r="B126" s="1">
        <v>15213</v>
      </c>
      <c r="C126" s="1" t="s">
        <v>653</v>
      </c>
    </row>
    <row r="127" spans="2:9" ht="15">
      <c r="B127" s="1">
        <v>15214</v>
      </c>
      <c r="C127" s="1" t="s">
        <v>653</v>
      </c>
    </row>
    <row r="128" spans="2:9" ht="15">
      <c r="B128" s="1">
        <v>15215</v>
      </c>
      <c r="C128" s="1" t="s">
        <v>653</v>
      </c>
    </row>
    <row r="129" spans="2:3" ht="15">
      <c r="B129" s="1">
        <v>15216</v>
      </c>
      <c r="C129" s="1" t="s">
        <v>653</v>
      </c>
    </row>
    <row r="130" spans="2:3" ht="15">
      <c r="B130" s="1">
        <v>15217</v>
      </c>
      <c r="C130" s="1" t="s">
        <v>653</v>
      </c>
    </row>
    <row r="131" spans="2:3" ht="15">
      <c r="B131" s="1">
        <v>15218</v>
      </c>
      <c r="C131" s="1" t="s">
        <v>653</v>
      </c>
    </row>
    <row r="132" spans="2:3" ht="15">
      <c r="B132" s="1">
        <v>15219</v>
      </c>
      <c r="C132" s="1" t="s">
        <v>653</v>
      </c>
    </row>
    <row r="133" spans="2:3" ht="15">
      <c r="B133" s="1">
        <v>15220</v>
      </c>
      <c r="C133" s="1" t="s">
        <v>653</v>
      </c>
    </row>
    <row r="134" spans="2:3" ht="15">
      <c r="B134" s="1">
        <v>15221</v>
      </c>
      <c r="C134" s="1" t="s">
        <v>653</v>
      </c>
    </row>
    <row r="135" spans="2:3" ht="15">
      <c r="B135" s="1">
        <v>15222</v>
      </c>
      <c r="C135" s="1" t="s">
        <v>653</v>
      </c>
    </row>
    <row r="136" spans="2:3" ht="15">
      <c r="B136" s="1">
        <v>15223</v>
      </c>
      <c r="C136" s="1" t="s">
        <v>653</v>
      </c>
    </row>
    <row r="137" spans="2:3" ht="15">
      <c r="B137" s="1">
        <v>15224</v>
      </c>
      <c r="C137" s="1" t="s">
        <v>653</v>
      </c>
    </row>
    <row r="138" spans="2:3" ht="15">
      <c r="B138" s="1">
        <v>15225</v>
      </c>
      <c r="C138" s="1" t="s">
        <v>653</v>
      </c>
    </row>
    <row r="139" spans="2:3" ht="15">
      <c r="B139" s="1">
        <v>15226</v>
      </c>
      <c r="C139" s="1" t="s">
        <v>653</v>
      </c>
    </row>
    <row r="140" spans="2:3" ht="15">
      <c r="B140" s="1">
        <v>15227</v>
      </c>
      <c r="C140" s="1" t="s">
        <v>653</v>
      </c>
    </row>
    <row r="141" spans="2:3" ht="15">
      <c r="B141" s="1">
        <v>15228</v>
      </c>
      <c r="C141" s="1" t="s">
        <v>653</v>
      </c>
    </row>
    <row r="142" spans="2:3" ht="15">
      <c r="B142" s="1">
        <v>15229</v>
      </c>
      <c r="C142" s="1" t="s">
        <v>653</v>
      </c>
    </row>
    <row r="143" spans="2:3" ht="15">
      <c r="B143" s="1">
        <v>15230</v>
      </c>
      <c r="C143" s="1" t="s">
        <v>653</v>
      </c>
    </row>
    <row r="144" spans="2:3" ht="15">
      <c r="B144" s="1">
        <v>15231</v>
      </c>
      <c r="C144" s="1" t="s">
        <v>653</v>
      </c>
    </row>
    <row r="145" spans="2:3" ht="15">
      <c r="B145" s="1">
        <v>15232</v>
      </c>
      <c r="C145" s="1" t="s">
        <v>653</v>
      </c>
    </row>
    <row r="146" spans="2:3" ht="15">
      <c r="B146" s="1">
        <v>15233</v>
      </c>
      <c r="C146" s="1" t="s">
        <v>653</v>
      </c>
    </row>
    <row r="147" spans="2:3" ht="15">
      <c r="B147" s="1">
        <v>15234</v>
      </c>
      <c r="C147" s="1" t="s">
        <v>653</v>
      </c>
    </row>
    <row r="148" spans="2:3" ht="15">
      <c r="B148" s="1">
        <v>15235</v>
      </c>
      <c r="C148" s="1" t="s">
        <v>653</v>
      </c>
    </row>
    <row r="149" spans="2:3" ht="15">
      <c r="B149" s="1">
        <v>15236</v>
      </c>
      <c r="C149" s="1" t="s">
        <v>653</v>
      </c>
    </row>
    <row r="150" spans="2:3" ht="15">
      <c r="B150" s="1">
        <v>15237</v>
      </c>
      <c r="C150" s="1" t="s">
        <v>653</v>
      </c>
    </row>
    <row r="151" spans="2:3" ht="15">
      <c r="B151" s="1">
        <v>15238</v>
      </c>
      <c r="C151" s="1" t="s">
        <v>653</v>
      </c>
    </row>
    <row r="152" spans="2:3" ht="15">
      <c r="B152" s="1">
        <v>15239</v>
      </c>
      <c r="C152" s="1" t="s">
        <v>653</v>
      </c>
    </row>
    <row r="153" spans="2:3" ht="15">
      <c r="B153" s="1">
        <v>15240</v>
      </c>
      <c r="C153" s="1" t="s">
        <v>653</v>
      </c>
    </row>
    <row r="154" spans="2:3" ht="15">
      <c r="B154" s="1">
        <v>15241</v>
      </c>
      <c r="C154" s="1" t="s">
        <v>653</v>
      </c>
    </row>
    <row r="155" spans="2:3" ht="15">
      <c r="B155" s="1">
        <v>15242</v>
      </c>
      <c r="C155" s="1" t="s">
        <v>653</v>
      </c>
    </row>
    <row r="156" spans="2:3" ht="15">
      <c r="B156" s="1">
        <v>15243</v>
      </c>
      <c r="C156" s="1" t="s">
        <v>653</v>
      </c>
    </row>
    <row r="157" spans="2:3" ht="15">
      <c r="B157" s="1">
        <v>15244</v>
      </c>
      <c r="C157" s="1" t="s">
        <v>653</v>
      </c>
    </row>
    <row r="158" spans="2:3" ht="15">
      <c r="B158" s="1">
        <v>15250</v>
      </c>
      <c r="C158" s="1" t="s">
        <v>653</v>
      </c>
    </row>
    <row r="159" spans="2:3" ht="15">
      <c r="B159" s="1">
        <v>15251</v>
      </c>
      <c r="C159" s="1" t="s">
        <v>653</v>
      </c>
    </row>
    <row r="160" spans="2:3" ht="15">
      <c r="B160" s="1">
        <v>15252</v>
      </c>
      <c r="C160" s="1" t="s">
        <v>653</v>
      </c>
    </row>
    <row r="161" spans="2:3" ht="15">
      <c r="B161" s="1">
        <v>15253</v>
      </c>
      <c r="C161" s="1" t="s">
        <v>653</v>
      </c>
    </row>
    <row r="162" spans="2:3" ht="15">
      <c r="B162" s="1">
        <v>15254</v>
      </c>
      <c r="C162" s="1" t="s">
        <v>653</v>
      </c>
    </row>
    <row r="163" spans="2:3" ht="15">
      <c r="B163" s="1">
        <v>15255</v>
      </c>
      <c r="C163" s="1" t="s">
        <v>653</v>
      </c>
    </row>
    <row r="164" spans="2:3" ht="15">
      <c r="B164" s="1">
        <v>15257</v>
      </c>
      <c r="C164" s="1" t="s">
        <v>653</v>
      </c>
    </row>
    <row r="165" spans="2:3" ht="15">
      <c r="B165" s="1">
        <v>15258</v>
      </c>
      <c r="C165" s="1" t="s">
        <v>653</v>
      </c>
    </row>
    <row r="166" spans="2:3" ht="15">
      <c r="B166" s="1">
        <v>15259</v>
      </c>
      <c r="C166" s="1" t="s">
        <v>653</v>
      </c>
    </row>
    <row r="167" spans="2:3" ht="15">
      <c r="B167" s="1">
        <v>15260</v>
      </c>
      <c r="C167" s="1" t="s">
        <v>653</v>
      </c>
    </row>
    <row r="168" spans="2:3" ht="15">
      <c r="B168" s="1">
        <v>15261</v>
      </c>
      <c r="C168" s="1" t="s">
        <v>653</v>
      </c>
    </row>
    <row r="169" spans="2:3" ht="15">
      <c r="B169" s="1">
        <v>15262</v>
      </c>
      <c r="C169" s="1" t="s">
        <v>653</v>
      </c>
    </row>
    <row r="170" spans="2:3" ht="15">
      <c r="B170" s="1">
        <v>15263</v>
      </c>
      <c r="C170" s="1" t="s">
        <v>653</v>
      </c>
    </row>
    <row r="171" spans="2:3" ht="15">
      <c r="B171" s="1">
        <v>15264</v>
      </c>
      <c r="C171" s="1" t="s">
        <v>653</v>
      </c>
    </row>
    <row r="172" spans="2:3" ht="15">
      <c r="B172" s="1">
        <v>15265</v>
      </c>
      <c r="C172" s="1" t="s">
        <v>653</v>
      </c>
    </row>
    <row r="173" spans="2:3" ht="15">
      <c r="B173" s="1">
        <v>15267</v>
      </c>
      <c r="C173" s="1" t="s">
        <v>653</v>
      </c>
    </row>
    <row r="174" spans="2:3" ht="15">
      <c r="B174" s="1">
        <v>15268</v>
      </c>
      <c r="C174" s="1" t="s">
        <v>653</v>
      </c>
    </row>
    <row r="175" spans="2:3" ht="15">
      <c r="B175" s="1">
        <v>15270</v>
      </c>
      <c r="C175" s="1" t="s">
        <v>653</v>
      </c>
    </row>
    <row r="176" spans="2:3" ht="15">
      <c r="B176" s="1">
        <v>15272</v>
      </c>
      <c r="C176" s="1" t="s">
        <v>653</v>
      </c>
    </row>
    <row r="177" spans="2:3" ht="15">
      <c r="B177" s="1">
        <v>15274</v>
      </c>
      <c r="C177" s="1" t="s">
        <v>653</v>
      </c>
    </row>
    <row r="178" spans="2:3" ht="15">
      <c r="B178" s="1">
        <v>15275</v>
      </c>
      <c r="C178" s="1" t="s">
        <v>653</v>
      </c>
    </row>
    <row r="179" spans="2:3" ht="15">
      <c r="B179" s="1">
        <v>15276</v>
      </c>
      <c r="C179" s="1" t="s">
        <v>653</v>
      </c>
    </row>
    <row r="180" spans="2:3" ht="15">
      <c r="B180" s="1">
        <v>15277</v>
      </c>
      <c r="C180" s="1" t="s">
        <v>653</v>
      </c>
    </row>
    <row r="181" spans="2:3" ht="15">
      <c r="B181" s="1">
        <v>15278</v>
      </c>
      <c r="C181" s="1" t="s">
        <v>653</v>
      </c>
    </row>
    <row r="182" spans="2:3" ht="15">
      <c r="B182" s="1">
        <v>15279</v>
      </c>
      <c r="C182" s="1" t="s">
        <v>653</v>
      </c>
    </row>
    <row r="183" spans="2:3" ht="15">
      <c r="B183" s="1">
        <v>15281</v>
      </c>
      <c r="C183" s="1" t="s">
        <v>653</v>
      </c>
    </row>
    <row r="184" spans="2:3" ht="15">
      <c r="B184" s="1">
        <v>15282</v>
      </c>
      <c r="C184" s="1" t="s">
        <v>653</v>
      </c>
    </row>
    <row r="185" spans="2:3" ht="15">
      <c r="B185" s="1">
        <v>15283</v>
      </c>
      <c r="C185" s="1" t="s">
        <v>653</v>
      </c>
    </row>
    <row r="186" spans="2:3" ht="15">
      <c r="B186" s="1">
        <v>15285</v>
      </c>
      <c r="C186" s="1" t="s">
        <v>653</v>
      </c>
    </row>
    <row r="187" spans="2:3" ht="15">
      <c r="B187" s="1">
        <v>15286</v>
      </c>
      <c r="C187" s="1" t="s">
        <v>653</v>
      </c>
    </row>
    <row r="188" spans="2:3" ht="15">
      <c r="B188" s="1">
        <v>15290</v>
      </c>
      <c r="C188" s="1" t="s">
        <v>653</v>
      </c>
    </row>
    <row r="189" spans="2:3" ht="15">
      <c r="B189" s="1">
        <v>15295</v>
      </c>
      <c r="C189" s="1" t="s">
        <v>653</v>
      </c>
    </row>
    <row r="190" spans="2:3" ht="15">
      <c r="B190" s="1">
        <v>15301</v>
      </c>
      <c r="C190" s="1" t="s">
        <v>653</v>
      </c>
    </row>
    <row r="191" spans="2:3" ht="15">
      <c r="B191" s="1">
        <v>15310</v>
      </c>
      <c r="C191" s="1" t="s">
        <v>653</v>
      </c>
    </row>
    <row r="192" spans="2:3" ht="15">
      <c r="B192" s="1">
        <v>15311</v>
      </c>
      <c r="C192" s="1" t="s">
        <v>653</v>
      </c>
    </row>
    <row r="193" spans="2:3" ht="15">
      <c r="B193" s="1">
        <v>15312</v>
      </c>
      <c r="C193" s="1" t="s">
        <v>653</v>
      </c>
    </row>
    <row r="194" spans="2:3" ht="15">
      <c r="B194" s="1">
        <v>15313</v>
      </c>
      <c r="C194" s="1" t="s">
        <v>653</v>
      </c>
    </row>
    <row r="195" spans="2:3" ht="15">
      <c r="B195" s="1">
        <v>15314</v>
      </c>
      <c r="C195" s="1" t="s">
        <v>653</v>
      </c>
    </row>
    <row r="196" spans="2:3" ht="15">
      <c r="B196" s="1">
        <v>15315</v>
      </c>
      <c r="C196" s="1" t="s">
        <v>653</v>
      </c>
    </row>
    <row r="197" spans="2:3" ht="15">
      <c r="B197" s="1">
        <v>15316</v>
      </c>
      <c r="C197" s="1" t="s">
        <v>653</v>
      </c>
    </row>
    <row r="198" spans="2:3" ht="15">
      <c r="B198" s="1">
        <v>15317</v>
      </c>
      <c r="C198" s="1" t="s">
        <v>653</v>
      </c>
    </row>
    <row r="199" spans="2:3" ht="15">
      <c r="B199" s="1">
        <v>15320</v>
      </c>
      <c r="C199" s="1" t="s">
        <v>653</v>
      </c>
    </row>
    <row r="200" spans="2:3" ht="15">
      <c r="B200" s="1">
        <v>15321</v>
      </c>
      <c r="C200" s="1" t="s">
        <v>653</v>
      </c>
    </row>
    <row r="201" spans="2:3" ht="15">
      <c r="B201" s="1">
        <v>15322</v>
      </c>
      <c r="C201" s="1" t="s">
        <v>653</v>
      </c>
    </row>
    <row r="202" spans="2:3" ht="15">
      <c r="B202" s="1">
        <v>15323</v>
      </c>
      <c r="C202" s="1" t="s">
        <v>653</v>
      </c>
    </row>
    <row r="203" spans="2:3" ht="15">
      <c r="B203" s="1">
        <v>15324</v>
      </c>
      <c r="C203" s="1" t="s">
        <v>653</v>
      </c>
    </row>
    <row r="204" spans="2:3" ht="15">
      <c r="B204" s="1">
        <v>15325</v>
      </c>
      <c r="C204" s="1" t="s">
        <v>653</v>
      </c>
    </row>
    <row r="205" spans="2:3" ht="15">
      <c r="B205" s="1">
        <v>15327</v>
      </c>
      <c r="C205" s="1" t="s">
        <v>653</v>
      </c>
    </row>
    <row r="206" spans="2:3" ht="15">
      <c r="B206" s="1">
        <v>15329</v>
      </c>
      <c r="C206" s="1" t="s">
        <v>653</v>
      </c>
    </row>
    <row r="207" spans="2:3" ht="15">
      <c r="B207" s="1">
        <v>15330</v>
      </c>
      <c r="C207" s="1" t="s">
        <v>653</v>
      </c>
    </row>
    <row r="208" spans="2:3" ht="15">
      <c r="B208" s="1">
        <v>15331</v>
      </c>
      <c r="C208" s="1" t="s">
        <v>653</v>
      </c>
    </row>
    <row r="209" spans="2:3" ht="15">
      <c r="B209" s="1">
        <v>15332</v>
      </c>
      <c r="C209" s="1" t="s">
        <v>653</v>
      </c>
    </row>
    <row r="210" spans="2:3" ht="15">
      <c r="B210" s="1">
        <v>15333</v>
      </c>
      <c r="C210" s="1" t="s">
        <v>653</v>
      </c>
    </row>
    <row r="211" spans="2:3" ht="15">
      <c r="B211" s="1">
        <v>15334</v>
      </c>
      <c r="C211" s="1" t="s">
        <v>653</v>
      </c>
    </row>
    <row r="212" spans="2:3" ht="15">
      <c r="B212" s="1">
        <v>15336</v>
      </c>
      <c r="C212" s="1" t="s">
        <v>653</v>
      </c>
    </row>
    <row r="213" spans="2:3" ht="15">
      <c r="B213" s="1">
        <v>15337</v>
      </c>
      <c r="C213" s="1" t="s">
        <v>653</v>
      </c>
    </row>
    <row r="214" spans="2:3" ht="15">
      <c r="B214" s="1">
        <v>15338</v>
      </c>
      <c r="C214" s="1" t="s">
        <v>653</v>
      </c>
    </row>
    <row r="215" spans="2:3" ht="15">
      <c r="B215" s="1">
        <v>15339</v>
      </c>
      <c r="C215" s="1" t="s">
        <v>653</v>
      </c>
    </row>
    <row r="216" spans="2:3" ht="15">
      <c r="B216" s="1">
        <v>15340</v>
      </c>
      <c r="C216" s="1" t="s">
        <v>653</v>
      </c>
    </row>
    <row r="217" spans="2:3" ht="15">
      <c r="B217" s="1">
        <v>15341</v>
      </c>
      <c r="C217" s="1" t="s">
        <v>653</v>
      </c>
    </row>
    <row r="218" spans="2:3" ht="15">
      <c r="B218" s="1">
        <v>15342</v>
      </c>
      <c r="C218" s="1" t="s">
        <v>653</v>
      </c>
    </row>
    <row r="219" spans="2:3" ht="15">
      <c r="B219" s="1">
        <v>15344</v>
      </c>
      <c r="C219" s="1" t="s">
        <v>653</v>
      </c>
    </row>
    <row r="220" spans="2:3" ht="15">
      <c r="B220" s="1">
        <v>15345</v>
      </c>
      <c r="C220" s="1" t="s">
        <v>653</v>
      </c>
    </row>
    <row r="221" spans="2:3" ht="15">
      <c r="B221" s="1">
        <v>15346</v>
      </c>
      <c r="C221" s="1" t="s">
        <v>653</v>
      </c>
    </row>
    <row r="222" spans="2:3" ht="15">
      <c r="B222" s="1">
        <v>15347</v>
      </c>
      <c r="C222" s="1" t="s">
        <v>653</v>
      </c>
    </row>
    <row r="223" spans="2:3" ht="15">
      <c r="B223" s="1">
        <v>15348</v>
      </c>
      <c r="C223" s="1" t="s">
        <v>653</v>
      </c>
    </row>
    <row r="224" spans="2:3" ht="15">
      <c r="B224" s="1">
        <v>15349</v>
      </c>
      <c r="C224" s="1" t="s">
        <v>653</v>
      </c>
    </row>
    <row r="225" spans="2:3" ht="15">
      <c r="B225" s="1">
        <v>15350</v>
      </c>
      <c r="C225" s="1" t="s">
        <v>653</v>
      </c>
    </row>
    <row r="226" spans="2:3" ht="15">
      <c r="B226" s="1">
        <v>15351</v>
      </c>
      <c r="C226" s="1" t="s">
        <v>653</v>
      </c>
    </row>
    <row r="227" spans="2:3" ht="15">
      <c r="B227" s="1">
        <v>15352</v>
      </c>
      <c r="C227" s="1" t="s">
        <v>653</v>
      </c>
    </row>
    <row r="228" spans="2:3" ht="15">
      <c r="B228" s="1">
        <v>15353</v>
      </c>
      <c r="C228" s="1" t="s">
        <v>653</v>
      </c>
    </row>
    <row r="229" spans="2:3" ht="15">
      <c r="B229" s="1">
        <v>15354</v>
      </c>
      <c r="C229" s="1" t="s">
        <v>653</v>
      </c>
    </row>
    <row r="230" spans="2:3" ht="15">
      <c r="B230" s="1">
        <v>15357</v>
      </c>
      <c r="C230" s="1" t="s">
        <v>653</v>
      </c>
    </row>
    <row r="231" spans="2:3" ht="15">
      <c r="B231" s="1">
        <v>15358</v>
      </c>
      <c r="C231" s="1" t="s">
        <v>653</v>
      </c>
    </row>
    <row r="232" spans="2:3" ht="15">
      <c r="B232" s="1">
        <v>15359</v>
      </c>
      <c r="C232" s="1" t="s">
        <v>653</v>
      </c>
    </row>
    <row r="233" spans="2:3" ht="15">
      <c r="B233" s="1">
        <v>15360</v>
      </c>
      <c r="C233" s="1" t="s">
        <v>653</v>
      </c>
    </row>
    <row r="234" spans="2:3" ht="15">
      <c r="B234" s="1">
        <v>15361</v>
      </c>
      <c r="C234" s="1" t="s">
        <v>653</v>
      </c>
    </row>
    <row r="235" spans="2:3" ht="15">
      <c r="B235" s="1">
        <v>15362</v>
      </c>
      <c r="C235" s="1" t="s">
        <v>653</v>
      </c>
    </row>
    <row r="236" spans="2:3" ht="15">
      <c r="B236" s="1">
        <v>15363</v>
      </c>
      <c r="C236" s="1" t="s">
        <v>653</v>
      </c>
    </row>
    <row r="237" spans="2:3" ht="15">
      <c r="B237" s="1">
        <v>15364</v>
      </c>
      <c r="C237" s="1" t="s">
        <v>653</v>
      </c>
    </row>
    <row r="238" spans="2:3" ht="15">
      <c r="B238" s="1">
        <v>15365</v>
      </c>
      <c r="C238" s="1" t="s">
        <v>653</v>
      </c>
    </row>
    <row r="239" spans="2:3" ht="15">
      <c r="B239" s="1">
        <v>15366</v>
      </c>
      <c r="C239" s="1" t="s">
        <v>653</v>
      </c>
    </row>
    <row r="240" spans="2:3" ht="15">
      <c r="B240" s="1">
        <v>15367</v>
      </c>
      <c r="C240" s="1" t="s">
        <v>653</v>
      </c>
    </row>
    <row r="241" spans="2:3" ht="15">
      <c r="B241" s="1">
        <v>15368</v>
      </c>
      <c r="C241" s="1" t="s">
        <v>653</v>
      </c>
    </row>
    <row r="242" spans="2:3" ht="15">
      <c r="B242" s="1">
        <v>15370</v>
      </c>
      <c r="C242" s="1" t="s">
        <v>653</v>
      </c>
    </row>
    <row r="243" spans="2:3" ht="15">
      <c r="B243" s="1">
        <v>15376</v>
      </c>
      <c r="C243" s="1" t="s">
        <v>653</v>
      </c>
    </row>
    <row r="244" spans="2:3" ht="15">
      <c r="B244" s="1">
        <v>15377</v>
      </c>
      <c r="C244" s="1" t="s">
        <v>653</v>
      </c>
    </row>
    <row r="245" spans="2:3" ht="15">
      <c r="B245" s="1">
        <v>15378</v>
      </c>
      <c r="C245" s="1" t="s">
        <v>653</v>
      </c>
    </row>
    <row r="246" spans="2:3" ht="15">
      <c r="B246" s="1">
        <v>15379</v>
      </c>
      <c r="C246" s="1" t="s">
        <v>653</v>
      </c>
    </row>
    <row r="247" spans="2:3" ht="15">
      <c r="B247" s="1">
        <v>15380</v>
      </c>
      <c r="C247" s="1" t="s">
        <v>653</v>
      </c>
    </row>
    <row r="248" spans="2:3" ht="15">
      <c r="B248" s="1">
        <v>15401</v>
      </c>
      <c r="C248" s="1" t="s">
        <v>653</v>
      </c>
    </row>
    <row r="249" spans="2:3" ht="15">
      <c r="B249" s="1">
        <v>15410</v>
      </c>
      <c r="C249" s="1" t="s">
        <v>653</v>
      </c>
    </row>
    <row r="250" spans="2:3" ht="15">
      <c r="B250" s="1">
        <v>15411</v>
      </c>
      <c r="C250" s="1" t="s">
        <v>653</v>
      </c>
    </row>
    <row r="251" spans="2:3" ht="15">
      <c r="B251" s="1">
        <v>15412</v>
      </c>
      <c r="C251" s="1" t="s">
        <v>653</v>
      </c>
    </row>
    <row r="252" spans="2:3" ht="15">
      <c r="B252" s="1">
        <v>15413</v>
      </c>
      <c r="C252" s="1" t="s">
        <v>653</v>
      </c>
    </row>
    <row r="253" spans="2:3" ht="15">
      <c r="B253" s="1">
        <v>15415</v>
      </c>
      <c r="C253" s="1" t="s">
        <v>653</v>
      </c>
    </row>
    <row r="254" spans="2:3" ht="15">
      <c r="B254" s="1">
        <v>15416</v>
      </c>
      <c r="C254" s="1" t="s">
        <v>653</v>
      </c>
    </row>
    <row r="255" spans="2:3" ht="15">
      <c r="B255" s="1">
        <v>15417</v>
      </c>
      <c r="C255" s="1" t="s">
        <v>653</v>
      </c>
    </row>
    <row r="256" spans="2:3" ht="15">
      <c r="B256" s="1">
        <v>15419</v>
      </c>
      <c r="C256" s="1" t="s">
        <v>653</v>
      </c>
    </row>
    <row r="257" spans="2:3" ht="15">
      <c r="B257" s="1">
        <v>15420</v>
      </c>
      <c r="C257" s="1" t="s">
        <v>653</v>
      </c>
    </row>
    <row r="258" spans="2:3" ht="15">
      <c r="B258" s="1">
        <v>15421</v>
      </c>
      <c r="C258" s="1" t="s">
        <v>653</v>
      </c>
    </row>
    <row r="259" spans="2:3" ht="15">
      <c r="B259" s="1">
        <v>15422</v>
      </c>
      <c r="C259" s="1" t="s">
        <v>653</v>
      </c>
    </row>
    <row r="260" spans="2:3" ht="15">
      <c r="B260" s="1">
        <v>15423</v>
      </c>
      <c r="C260" s="1" t="s">
        <v>653</v>
      </c>
    </row>
    <row r="261" spans="2:3" ht="15">
      <c r="B261" s="1">
        <v>15424</v>
      </c>
      <c r="C261" s="1" t="s">
        <v>653</v>
      </c>
    </row>
    <row r="262" spans="2:3" ht="15">
      <c r="B262" s="1">
        <v>15425</v>
      </c>
      <c r="C262" s="1" t="s">
        <v>653</v>
      </c>
    </row>
    <row r="263" spans="2:3" ht="15">
      <c r="B263" s="1">
        <v>15427</v>
      </c>
      <c r="C263" s="1" t="s">
        <v>653</v>
      </c>
    </row>
    <row r="264" spans="2:3" ht="15">
      <c r="B264" s="1">
        <v>15428</v>
      </c>
      <c r="C264" s="1" t="s">
        <v>653</v>
      </c>
    </row>
    <row r="265" spans="2:3" ht="15">
      <c r="B265" s="1">
        <v>15429</v>
      </c>
      <c r="C265" s="1" t="s">
        <v>653</v>
      </c>
    </row>
    <row r="266" spans="2:3" ht="15">
      <c r="B266" s="1">
        <v>15430</v>
      </c>
      <c r="C266" s="1" t="s">
        <v>653</v>
      </c>
    </row>
    <row r="267" spans="2:3" ht="15">
      <c r="B267" s="1">
        <v>15431</v>
      </c>
      <c r="C267" s="1" t="s">
        <v>653</v>
      </c>
    </row>
    <row r="268" spans="2:3" ht="15">
      <c r="B268" s="1">
        <v>15432</v>
      </c>
      <c r="C268" s="1" t="s">
        <v>653</v>
      </c>
    </row>
    <row r="269" spans="2:3" ht="15">
      <c r="B269" s="1">
        <v>15433</v>
      </c>
      <c r="C269" s="1" t="s">
        <v>653</v>
      </c>
    </row>
    <row r="270" spans="2:3" ht="15">
      <c r="B270" s="1">
        <v>15434</v>
      </c>
      <c r="C270" s="1" t="s">
        <v>653</v>
      </c>
    </row>
    <row r="271" spans="2:3" ht="15">
      <c r="B271" s="1">
        <v>15435</v>
      </c>
      <c r="C271" s="1" t="s">
        <v>653</v>
      </c>
    </row>
    <row r="272" spans="2:3" ht="15">
      <c r="B272" s="1">
        <v>15436</v>
      </c>
      <c r="C272" s="1" t="s">
        <v>653</v>
      </c>
    </row>
    <row r="273" spans="2:3" ht="15">
      <c r="B273" s="1">
        <v>15437</v>
      </c>
      <c r="C273" s="1" t="s">
        <v>653</v>
      </c>
    </row>
    <row r="274" spans="2:3" ht="15">
      <c r="B274" s="1">
        <v>15438</v>
      </c>
      <c r="C274" s="1" t="s">
        <v>653</v>
      </c>
    </row>
    <row r="275" spans="2:3" ht="15">
      <c r="B275" s="1">
        <v>15439</v>
      </c>
      <c r="C275" s="1" t="s">
        <v>653</v>
      </c>
    </row>
    <row r="276" spans="2:3" ht="15">
      <c r="B276" s="1">
        <v>15440</v>
      </c>
      <c r="C276" s="1" t="s">
        <v>653</v>
      </c>
    </row>
    <row r="277" spans="2:3" ht="15">
      <c r="B277" s="1">
        <v>15442</v>
      </c>
      <c r="C277" s="1" t="s">
        <v>653</v>
      </c>
    </row>
    <row r="278" spans="2:3" ht="15">
      <c r="B278" s="1">
        <v>15443</v>
      </c>
      <c r="C278" s="1" t="s">
        <v>653</v>
      </c>
    </row>
    <row r="279" spans="2:3" ht="15">
      <c r="B279" s="1">
        <v>15444</v>
      </c>
      <c r="C279" s="1" t="s">
        <v>653</v>
      </c>
    </row>
    <row r="280" spans="2:3" ht="15">
      <c r="B280" s="1">
        <v>15445</v>
      </c>
      <c r="C280" s="1" t="s">
        <v>653</v>
      </c>
    </row>
    <row r="281" spans="2:3" ht="15">
      <c r="B281" s="1">
        <v>15446</v>
      </c>
      <c r="C281" s="1" t="s">
        <v>653</v>
      </c>
    </row>
    <row r="282" spans="2:3" ht="15">
      <c r="B282" s="1">
        <v>15447</v>
      </c>
      <c r="C282" s="1" t="s">
        <v>653</v>
      </c>
    </row>
    <row r="283" spans="2:3" ht="15">
      <c r="B283" s="1">
        <v>15448</v>
      </c>
      <c r="C283" s="1" t="s">
        <v>653</v>
      </c>
    </row>
    <row r="284" spans="2:3" ht="15">
      <c r="B284" s="1">
        <v>15449</v>
      </c>
      <c r="C284" s="1" t="s">
        <v>653</v>
      </c>
    </row>
    <row r="285" spans="2:3" ht="15">
      <c r="B285" s="1">
        <v>15450</v>
      </c>
      <c r="C285" s="1" t="s">
        <v>653</v>
      </c>
    </row>
    <row r="286" spans="2:3" ht="15">
      <c r="B286" s="1">
        <v>15451</v>
      </c>
      <c r="C286" s="1" t="s">
        <v>653</v>
      </c>
    </row>
    <row r="287" spans="2:3" ht="15">
      <c r="B287" s="1">
        <v>15454</v>
      </c>
      <c r="C287" s="1" t="s">
        <v>653</v>
      </c>
    </row>
    <row r="288" spans="2:3" ht="15">
      <c r="B288" s="1">
        <v>15455</v>
      </c>
      <c r="C288" s="1" t="s">
        <v>653</v>
      </c>
    </row>
    <row r="289" spans="2:3" ht="15">
      <c r="B289" s="1">
        <v>15456</v>
      </c>
      <c r="C289" s="1" t="s">
        <v>653</v>
      </c>
    </row>
    <row r="290" spans="2:3" ht="15">
      <c r="B290" s="1">
        <v>15458</v>
      </c>
      <c r="C290" s="1" t="s">
        <v>653</v>
      </c>
    </row>
    <row r="291" spans="2:3" ht="15">
      <c r="B291" s="1">
        <v>15459</v>
      </c>
      <c r="C291" s="1" t="s">
        <v>653</v>
      </c>
    </row>
    <row r="292" spans="2:3" ht="15">
      <c r="B292" s="1">
        <v>15460</v>
      </c>
      <c r="C292" s="1" t="s">
        <v>653</v>
      </c>
    </row>
    <row r="293" spans="2:3" ht="15">
      <c r="B293" s="1">
        <v>15461</v>
      </c>
      <c r="C293" s="1" t="s">
        <v>653</v>
      </c>
    </row>
    <row r="294" spans="2:3" ht="15">
      <c r="B294" s="1">
        <v>15462</v>
      </c>
      <c r="C294" s="1" t="s">
        <v>653</v>
      </c>
    </row>
    <row r="295" spans="2:3" ht="15">
      <c r="B295" s="1">
        <v>15463</v>
      </c>
      <c r="C295" s="1" t="s">
        <v>653</v>
      </c>
    </row>
    <row r="296" spans="2:3" ht="15">
      <c r="B296" s="1">
        <v>15464</v>
      </c>
      <c r="C296" s="1" t="s">
        <v>653</v>
      </c>
    </row>
    <row r="297" spans="2:3" ht="15">
      <c r="B297" s="1">
        <v>15465</v>
      </c>
      <c r="C297" s="1" t="s">
        <v>653</v>
      </c>
    </row>
    <row r="298" spans="2:3" ht="15">
      <c r="B298" s="1">
        <v>15466</v>
      </c>
      <c r="C298" s="1" t="s">
        <v>653</v>
      </c>
    </row>
    <row r="299" spans="2:3" ht="15">
      <c r="B299" s="1">
        <v>15467</v>
      </c>
      <c r="C299" s="1" t="s">
        <v>653</v>
      </c>
    </row>
    <row r="300" spans="2:3" ht="15">
      <c r="B300" s="1">
        <v>15468</v>
      </c>
      <c r="C300" s="1" t="s">
        <v>653</v>
      </c>
    </row>
    <row r="301" spans="2:3" ht="15">
      <c r="B301" s="1">
        <v>15469</v>
      </c>
      <c r="C301" s="1" t="s">
        <v>653</v>
      </c>
    </row>
    <row r="302" spans="2:3" ht="15">
      <c r="B302" s="1">
        <v>15470</v>
      </c>
      <c r="C302" s="1" t="s">
        <v>653</v>
      </c>
    </row>
    <row r="303" spans="2:3" ht="15">
      <c r="B303" s="1">
        <v>15472</v>
      </c>
      <c r="C303" s="1" t="s">
        <v>653</v>
      </c>
    </row>
    <row r="304" spans="2:3" ht="15">
      <c r="B304" s="1">
        <v>15473</v>
      </c>
      <c r="C304" s="1" t="s">
        <v>653</v>
      </c>
    </row>
    <row r="305" spans="2:3" ht="15">
      <c r="B305" s="1">
        <v>15474</v>
      </c>
      <c r="C305" s="1" t="s">
        <v>653</v>
      </c>
    </row>
    <row r="306" spans="2:3" ht="15">
      <c r="B306" s="1">
        <v>15475</v>
      </c>
      <c r="C306" s="1" t="s">
        <v>653</v>
      </c>
    </row>
    <row r="307" spans="2:3" ht="15">
      <c r="B307" s="1">
        <v>15476</v>
      </c>
      <c r="C307" s="1" t="s">
        <v>653</v>
      </c>
    </row>
    <row r="308" spans="2:3" ht="15">
      <c r="B308" s="1">
        <v>15477</v>
      </c>
      <c r="C308" s="1" t="s">
        <v>653</v>
      </c>
    </row>
    <row r="309" spans="2:3" ht="15">
      <c r="B309" s="1">
        <v>15478</v>
      </c>
      <c r="C309" s="1" t="s">
        <v>653</v>
      </c>
    </row>
    <row r="310" spans="2:3" ht="15">
      <c r="B310" s="1">
        <v>15479</v>
      </c>
      <c r="C310" s="1" t="s">
        <v>653</v>
      </c>
    </row>
    <row r="311" spans="2:3" ht="15">
      <c r="B311" s="1">
        <v>15480</v>
      </c>
      <c r="C311" s="1" t="s">
        <v>653</v>
      </c>
    </row>
    <row r="312" spans="2:3" ht="15">
      <c r="B312" s="1">
        <v>15482</v>
      </c>
      <c r="C312" s="1" t="s">
        <v>653</v>
      </c>
    </row>
    <row r="313" spans="2:3" ht="15">
      <c r="B313" s="1">
        <v>15483</v>
      </c>
      <c r="C313" s="1" t="s">
        <v>653</v>
      </c>
    </row>
    <row r="314" spans="2:3" ht="15">
      <c r="B314" s="1">
        <v>15484</v>
      </c>
      <c r="C314" s="1" t="s">
        <v>653</v>
      </c>
    </row>
    <row r="315" spans="2:3" ht="15">
      <c r="B315" s="1">
        <v>15485</v>
      </c>
      <c r="C315" s="1" t="s">
        <v>653</v>
      </c>
    </row>
    <row r="316" spans="2:3" ht="15">
      <c r="B316" s="1">
        <v>15486</v>
      </c>
      <c r="C316" s="1" t="s">
        <v>653</v>
      </c>
    </row>
    <row r="317" spans="2:3" ht="15">
      <c r="B317" s="1">
        <v>15488</v>
      </c>
      <c r="C317" s="1" t="s">
        <v>653</v>
      </c>
    </row>
    <row r="318" spans="2:3" ht="15">
      <c r="B318" s="1">
        <v>15489</v>
      </c>
      <c r="C318" s="1" t="s">
        <v>653</v>
      </c>
    </row>
    <row r="319" spans="2:3" ht="15">
      <c r="B319" s="1">
        <v>15490</v>
      </c>
      <c r="C319" s="1" t="s">
        <v>653</v>
      </c>
    </row>
    <row r="320" spans="2:3" ht="15">
      <c r="B320" s="1">
        <v>15492</v>
      </c>
      <c r="C320" s="1" t="s">
        <v>653</v>
      </c>
    </row>
    <row r="321" spans="2:3" ht="15">
      <c r="B321" s="1">
        <v>15501</v>
      </c>
      <c r="C321" s="1" t="s">
        <v>653</v>
      </c>
    </row>
    <row r="322" spans="2:3" ht="15">
      <c r="B322" s="1">
        <v>15502</v>
      </c>
      <c r="C322" s="1" t="s">
        <v>653</v>
      </c>
    </row>
    <row r="323" spans="2:3" ht="15">
      <c r="B323" s="1">
        <v>15510</v>
      </c>
      <c r="C323" s="1" t="s">
        <v>653</v>
      </c>
    </row>
    <row r="324" spans="2:3" ht="15">
      <c r="B324" s="1">
        <v>15520</v>
      </c>
      <c r="C324" s="1" t="s">
        <v>653</v>
      </c>
    </row>
    <row r="325" spans="2:3" ht="15">
      <c r="B325" s="1">
        <v>15521</v>
      </c>
      <c r="C325" s="1" t="s">
        <v>653</v>
      </c>
    </row>
    <row r="326" spans="2:3" ht="15">
      <c r="B326" s="1">
        <v>15522</v>
      </c>
      <c r="C326" s="1" t="s">
        <v>653</v>
      </c>
    </row>
    <row r="327" spans="2:3" ht="15">
      <c r="B327" s="1">
        <v>15530</v>
      </c>
      <c r="C327" s="1" t="s">
        <v>653</v>
      </c>
    </row>
    <row r="328" spans="2:3" ht="15">
      <c r="B328" s="1">
        <v>15531</v>
      </c>
      <c r="C328" s="1" t="s">
        <v>653</v>
      </c>
    </row>
    <row r="329" spans="2:3" ht="15">
      <c r="B329" s="1">
        <v>15532</v>
      </c>
      <c r="C329" s="1" t="s">
        <v>653</v>
      </c>
    </row>
    <row r="330" spans="2:3" ht="15">
      <c r="B330" s="1">
        <v>15533</v>
      </c>
      <c r="C330" s="1" t="s">
        <v>653</v>
      </c>
    </row>
    <row r="331" spans="2:3" ht="15">
      <c r="B331" s="1">
        <v>15534</v>
      </c>
      <c r="C331" s="1" t="s">
        <v>653</v>
      </c>
    </row>
    <row r="332" spans="2:3" ht="15">
      <c r="B332" s="1">
        <v>15535</v>
      </c>
      <c r="C332" s="1" t="s">
        <v>653</v>
      </c>
    </row>
    <row r="333" spans="2:3" ht="15">
      <c r="B333" s="1">
        <v>15536</v>
      </c>
      <c r="C333" s="1" t="s">
        <v>651</v>
      </c>
    </row>
    <row r="334" spans="2:3" ht="15">
      <c r="B334" s="1">
        <v>15537</v>
      </c>
      <c r="C334" s="1" t="s">
        <v>653</v>
      </c>
    </row>
    <row r="335" spans="2:3" ht="15">
      <c r="B335" s="1">
        <v>15538</v>
      </c>
      <c r="C335" s="1" t="s">
        <v>653</v>
      </c>
    </row>
    <row r="336" spans="2:3" ht="15">
      <c r="B336" s="1">
        <v>15539</v>
      </c>
      <c r="C336" s="1" t="s">
        <v>653</v>
      </c>
    </row>
    <row r="337" spans="2:3" ht="15">
      <c r="B337" s="1">
        <v>15540</v>
      </c>
      <c r="C337" s="1" t="s">
        <v>653</v>
      </c>
    </row>
    <row r="338" spans="2:3" ht="15">
      <c r="B338" s="1">
        <v>15541</v>
      </c>
      <c r="C338" s="1" t="s">
        <v>653</v>
      </c>
    </row>
    <row r="339" spans="2:3" ht="15">
      <c r="B339" s="1">
        <v>15542</v>
      </c>
      <c r="C339" s="1" t="s">
        <v>653</v>
      </c>
    </row>
    <row r="340" spans="2:3" ht="15">
      <c r="B340" s="1">
        <v>15544</v>
      </c>
      <c r="C340" s="1" t="s">
        <v>653</v>
      </c>
    </row>
    <row r="341" spans="2:3" ht="15">
      <c r="B341" s="1">
        <v>15545</v>
      </c>
      <c r="C341" s="1" t="s">
        <v>653</v>
      </c>
    </row>
    <row r="342" spans="2:3" ht="15">
      <c r="B342" s="1">
        <v>15546</v>
      </c>
      <c r="C342" s="1" t="s">
        <v>653</v>
      </c>
    </row>
    <row r="343" spans="2:3" ht="15">
      <c r="B343" s="1">
        <v>15547</v>
      </c>
      <c r="C343" s="1" t="s">
        <v>653</v>
      </c>
    </row>
    <row r="344" spans="2:3" ht="15">
      <c r="B344" s="1">
        <v>15548</v>
      </c>
      <c r="C344" s="1" t="s">
        <v>653</v>
      </c>
    </row>
    <row r="345" spans="2:3" ht="15">
      <c r="B345" s="1">
        <v>15549</v>
      </c>
      <c r="C345" s="1" t="s">
        <v>653</v>
      </c>
    </row>
    <row r="346" spans="2:3" ht="15">
      <c r="B346" s="1">
        <v>15550</v>
      </c>
      <c r="C346" s="1" t="s">
        <v>653</v>
      </c>
    </row>
    <row r="347" spans="2:3" ht="15">
      <c r="B347" s="1">
        <v>15551</v>
      </c>
      <c r="C347" s="1" t="s">
        <v>653</v>
      </c>
    </row>
    <row r="348" spans="2:3" ht="15">
      <c r="B348" s="1">
        <v>15552</v>
      </c>
      <c r="C348" s="1" t="s">
        <v>653</v>
      </c>
    </row>
    <row r="349" spans="2:3" ht="15">
      <c r="B349" s="1">
        <v>15553</v>
      </c>
      <c r="C349" s="1" t="s">
        <v>653</v>
      </c>
    </row>
    <row r="350" spans="2:3" ht="15">
      <c r="B350" s="1">
        <v>15554</v>
      </c>
      <c r="C350" s="1" t="s">
        <v>653</v>
      </c>
    </row>
    <row r="351" spans="2:3" ht="15">
      <c r="B351" s="1">
        <v>15555</v>
      </c>
      <c r="C351" s="1" t="s">
        <v>653</v>
      </c>
    </row>
    <row r="352" spans="2:3" ht="15">
      <c r="B352" s="1">
        <v>15557</v>
      </c>
      <c r="C352" s="1" t="s">
        <v>653</v>
      </c>
    </row>
    <row r="353" spans="2:3" ht="15">
      <c r="B353" s="1">
        <v>15558</v>
      </c>
      <c r="C353" s="1" t="s">
        <v>653</v>
      </c>
    </row>
    <row r="354" spans="2:3" ht="15">
      <c r="B354" s="1">
        <v>15559</v>
      </c>
      <c r="C354" s="1" t="s">
        <v>653</v>
      </c>
    </row>
    <row r="355" spans="2:3" ht="15">
      <c r="B355" s="1">
        <v>15560</v>
      </c>
      <c r="C355" s="1" t="s">
        <v>653</v>
      </c>
    </row>
    <row r="356" spans="2:3" ht="15">
      <c r="B356" s="1">
        <v>15561</v>
      </c>
      <c r="C356" s="1" t="s">
        <v>653</v>
      </c>
    </row>
    <row r="357" spans="2:3" ht="15">
      <c r="B357" s="1">
        <v>15562</v>
      </c>
      <c r="C357" s="1" t="s">
        <v>653</v>
      </c>
    </row>
    <row r="358" spans="2:3" ht="15">
      <c r="B358" s="1">
        <v>15563</v>
      </c>
      <c r="C358" s="1" t="s">
        <v>653</v>
      </c>
    </row>
    <row r="359" spans="2:3" ht="15">
      <c r="B359" s="1">
        <v>15564</v>
      </c>
      <c r="C359" s="1" t="s">
        <v>653</v>
      </c>
    </row>
    <row r="360" spans="2:3" ht="15">
      <c r="B360" s="1">
        <v>15565</v>
      </c>
      <c r="C360" s="1" t="s">
        <v>653</v>
      </c>
    </row>
    <row r="361" spans="2:3" ht="15">
      <c r="B361" s="1">
        <v>15601</v>
      </c>
      <c r="C361" s="1" t="s">
        <v>653</v>
      </c>
    </row>
    <row r="362" spans="2:3" ht="15">
      <c r="B362" s="1">
        <v>15605</v>
      </c>
      <c r="C362" s="1" t="s">
        <v>653</v>
      </c>
    </row>
    <row r="363" spans="2:3" ht="15">
      <c r="B363" s="1">
        <v>15606</v>
      </c>
      <c r="C363" s="1" t="s">
        <v>653</v>
      </c>
    </row>
    <row r="364" spans="2:3" ht="15">
      <c r="B364" s="1">
        <v>15610</v>
      </c>
      <c r="C364" s="1" t="s">
        <v>653</v>
      </c>
    </row>
    <row r="365" spans="2:3" ht="15">
      <c r="B365" s="1">
        <v>15611</v>
      </c>
      <c r="C365" s="1" t="s">
        <v>653</v>
      </c>
    </row>
    <row r="366" spans="2:3" ht="15">
      <c r="B366" s="1">
        <v>15612</v>
      </c>
      <c r="C366" s="1" t="s">
        <v>653</v>
      </c>
    </row>
    <row r="367" spans="2:3" ht="15">
      <c r="B367" s="1">
        <v>15613</v>
      </c>
      <c r="C367" s="1" t="s">
        <v>653</v>
      </c>
    </row>
    <row r="368" spans="2:3" ht="15">
      <c r="B368" s="1">
        <v>15615</v>
      </c>
      <c r="C368" s="1" t="s">
        <v>653</v>
      </c>
    </row>
    <row r="369" spans="2:3" ht="15">
      <c r="B369" s="1">
        <v>15616</v>
      </c>
      <c r="C369" s="1" t="s">
        <v>653</v>
      </c>
    </row>
    <row r="370" spans="2:3" ht="15">
      <c r="B370" s="1">
        <v>15617</v>
      </c>
      <c r="C370" s="1" t="s">
        <v>653</v>
      </c>
    </row>
    <row r="371" spans="2:3" ht="15">
      <c r="B371" s="1">
        <v>15618</v>
      </c>
      <c r="C371" s="1" t="s">
        <v>653</v>
      </c>
    </row>
    <row r="372" spans="2:3" ht="15">
      <c r="B372" s="1">
        <v>15619</v>
      </c>
      <c r="C372" s="1" t="s">
        <v>653</v>
      </c>
    </row>
    <row r="373" spans="2:3" ht="15">
      <c r="B373" s="1">
        <v>15620</v>
      </c>
      <c r="C373" s="1" t="s">
        <v>653</v>
      </c>
    </row>
    <row r="374" spans="2:3" ht="15">
      <c r="B374" s="1">
        <v>15621</v>
      </c>
      <c r="C374" s="1" t="s">
        <v>653</v>
      </c>
    </row>
    <row r="375" spans="2:3" ht="15">
      <c r="B375" s="1">
        <v>15622</v>
      </c>
      <c r="C375" s="1" t="s">
        <v>653</v>
      </c>
    </row>
    <row r="376" spans="2:3" ht="15">
      <c r="B376" s="1">
        <v>15623</v>
      </c>
      <c r="C376" s="1" t="s">
        <v>653</v>
      </c>
    </row>
    <row r="377" spans="2:3" ht="15">
      <c r="B377" s="1">
        <v>15624</v>
      </c>
      <c r="C377" s="1" t="s">
        <v>653</v>
      </c>
    </row>
    <row r="378" spans="2:3" ht="15">
      <c r="B378" s="1">
        <v>15625</v>
      </c>
      <c r="C378" s="1" t="s">
        <v>653</v>
      </c>
    </row>
    <row r="379" spans="2:3" ht="15">
      <c r="B379" s="1">
        <v>15626</v>
      </c>
      <c r="C379" s="1" t="s">
        <v>653</v>
      </c>
    </row>
    <row r="380" spans="2:3" ht="15">
      <c r="B380" s="1">
        <v>15627</v>
      </c>
      <c r="C380" s="1" t="s">
        <v>653</v>
      </c>
    </row>
    <row r="381" spans="2:3" ht="15">
      <c r="B381" s="1">
        <v>15628</v>
      </c>
      <c r="C381" s="1" t="s">
        <v>653</v>
      </c>
    </row>
    <row r="382" spans="2:3" ht="15">
      <c r="B382" s="1">
        <v>15629</v>
      </c>
      <c r="C382" s="1" t="s">
        <v>653</v>
      </c>
    </row>
    <row r="383" spans="2:3" ht="15">
      <c r="B383" s="1">
        <v>15631</v>
      </c>
      <c r="C383" s="1" t="s">
        <v>653</v>
      </c>
    </row>
    <row r="384" spans="2:3" ht="15">
      <c r="B384" s="1">
        <v>15632</v>
      </c>
      <c r="C384" s="1" t="s">
        <v>653</v>
      </c>
    </row>
    <row r="385" spans="2:3" ht="15">
      <c r="B385" s="1">
        <v>15633</v>
      </c>
      <c r="C385" s="1" t="s">
        <v>653</v>
      </c>
    </row>
    <row r="386" spans="2:3" ht="15">
      <c r="B386" s="1">
        <v>15634</v>
      </c>
      <c r="C386" s="1" t="s">
        <v>653</v>
      </c>
    </row>
    <row r="387" spans="2:3" ht="15">
      <c r="B387" s="1">
        <v>15635</v>
      </c>
      <c r="C387" s="1" t="s">
        <v>653</v>
      </c>
    </row>
    <row r="388" spans="2:3" ht="15">
      <c r="B388" s="1">
        <v>15636</v>
      </c>
      <c r="C388" s="1" t="s">
        <v>653</v>
      </c>
    </row>
    <row r="389" spans="2:3" ht="15">
      <c r="B389" s="1">
        <v>15637</v>
      </c>
      <c r="C389" s="1" t="s">
        <v>653</v>
      </c>
    </row>
    <row r="390" spans="2:3" ht="15">
      <c r="B390" s="1">
        <v>15638</v>
      </c>
      <c r="C390" s="1" t="s">
        <v>653</v>
      </c>
    </row>
    <row r="391" spans="2:3" ht="15">
      <c r="B391" s="1">
        <v>15639</v>
      </c>
      <c r="C391" s="1" t="s">
        <v>653</v>
      </c>
    </row>
    <row r="392" spans="2:3" ht="15">
      <c r="B392" s="1">
        <v>15640</v>
      </c>
      <c r="C392" s="1" t="s">
        <v>653</v>
      </c>
    </row>
    <row r="393" spans="2:3" ht="15">
      <c r="B393" s="1">
        <v>15641</v>
      </c>
      <c r="C393" s="1" t="s">
        <v>653</v>
      </c>
    </row>
    <row r="394" spans="2:3" ht="15">
      <c r="B394" s="1">
        <v>15642</v>
      </c>
      <c r="C394" s="1" t="s">
        <v>653</v>
      </c>
    </row>
    <row r="395" spans="2:3" ht="15">
      <c r="B395" s="1">
        <v>15644</v>
      </c>
      <c r="C395" s="1" t="s">
        <v>653</v>
      </c>
    </row>
    <row r="396" spans="2:3" ht="15">
      <c r="B396" s="1">
        <v>15646</v>
      </c>
      <c r="C396" s="1" t="s">
        <v>653</v>
      </c>
    </row>
    <row r="397" spans="2:3" ht="15">
      <c r="B397" s="1">
        <v>15647</v>
      </c>
      <c r="C397" s="1" t="s">
        <v>653</v>
      </c>
    </row>
    <row r="398" spans="2:3" ht="15">
      <c r="B398" s="1">
        <v>15650</v>
      </c>
      <c r="C398" s="1" t="s">
        <v>653</v>
      </c>
    </row>
    <row r="399" spans="2:3" ht="15">
      <c r="B399" s="1">
        <v>15655</v>
      </c>
      <c r="C399" s="1" t="s">
        <v>653</v>
      </c>
    </row>
    <row r="400" spans="2:3" ht="15">
      <c r="B400" s="1">
        <v>15656</v>
      </c>
      <c r="C400" s="1" t="s">
        <v>653</v>
      </c>
    </row>
    <row r="401" spans="2:3" ht="15">
      <c r="B401" s="1">
        <v>15658</v>
      </c>
      <c r="C401" s="1" t="s">
        <v>653</v>
      </c>
    </row>
    <row r="402" spans="2:3" ht="15">
      <c r="B402" s="1">
        <v>15660</v>
      </c>
      <c r="C402" s="1" t="s">
        <v>653</v>
      </c>
    </row>
    <row r="403" spans="2:3" ht="15">
      <c r="B403" s="1">
        <v>15661</v>
      </c>
      <c r="C403" s="1" t="s">
        <v>653</v>
      </c>
    </row>
    <row r="404" spans="2:3" ht="15">
      <c r="B404" s="1">
        <v>15662</v>
      </c>
      <c r="C404" s="1" t="s">
        <v>653</v>
      </c>
    </row>
    <row r="405" spans="2:3" ht="15">
      <c r="B405" s="1">
        <v>15663</v>
      </c>
      <c r="C405" s="1" t="s">
        <v>653</v>
      </c>
    </row>
    <row r="406" spans="2:3" ht="15">
      <c r="B406" s="1">
        <v>15664</v>
      </c>
      <c r="C406" s="1" t="s">
        <v>653</v>
      </c>
    </row>
    <row r="407" spans="2:3" ht="15">
      <c r="B407" s="1">
        <v>15665</v>
      </c>
      <c r="C407" s="1" t="s">
        <v>653</v>
      </c>
    </row>
    <row r="408" spans="2:3" ht="15">
      <c r="B408" s="1">
        <v>15666</v>
      </c>
      <c r="C408" s="1" t="s">
        <v>653</v>
      </c>
    </row>
    <row r="409" spans="2:3" ht="15">
      <c r="B409" s="1">
        <v>15668</v>
      </c>
      <c r="C409" s="1" t="s">
        <v>653</v>
      </c>
    </row>
    <row r="410" spans="2:3" ht="15">
      <c r="B410" s="1">
        <v>15670</v>
      </c>
      <c r="C410" s="1" t="s">
        <v>653</v>
      </c>
    </row>
    <row r="411" spans="2:3" ht="15">
      <c r="B411" s="1">
        <v>15671</v>
      </c>
      <c r="C411" s="1" t="s">
        <v>653</v>
      </c>
    </row>
    <row r="412" spans="2:3" ht="15">
      <c r="B412" s="1">
        <v>15672</v>
      </c>
      <c r="C412" s="1" t="s">
        <v>653</v>
      </c>
    </row>
    <row r="413" spans="2:3" ht="15">
      <c r="B413" s="1">
        <v>15673</v>
      </c>
      <c r="C413" s="1" t="s">
        <v>653</v>
      </c>
    </row>
    <row r="414" spans="2:3" ht="15">
      <c r="B414" s="1">
        <v>15674</v>
      </c>
      <c r="C414" s="1" t="s">
        <v>653</v>
      </c>
    </row>
    <row r="415" spans="2:3" ht="15">
      <c r="B415" s="1">
        <v>15675</v>
      </c>
      <c r="C415" s="1" t="s">
        <v>653</v>
      </c>
    </row>
    <row r="416" spans="2:3" ht="15">
      <c r="B416" s="1">
        <v>15676</v>
      </c>
      <c r="C416" s="1" t="s">
        <v>653</v>
      </c>
    </row>
    <row r="417" spans="2:3" ht="15">
      <c r="B417" s="1">
        <v>15677</v>
      </c>
      <c r="C417" s="1" t="s">
        <v>653</v>
      </c>
    </row>
    <row r="418" spans="2:3" ht="15">
      <c r="B418" s="1">
        <v>15678</v>
      </c>
      <c r="C418" s="1" t="s">
        <v>653</v>
      </c>
    </row>
    <row r="419" spans="2:3" ht="15">
      <c r="B419" s="1">
        <v>15679</v>
      </c>
      <c r="C419" s="1" t="s">
        <v>653</v>
      </c>
    </row>
    <row r="420" spans="2:3" ht="15">
      <c r="B420" s="1">
        <v>15680</v>
      </c>
      <c r="C420" s="1" t="s">
        <v>653</v>
      </c>
    </row>
    <row r="421" spans="2:3" ht="15">
      <c r="B421" s="1">
        <v>15681</v>
      </c>
      <c r="C421" s="1" t="s">
        <v>653</v>
      </c>
    </row>
    <row r="422" spans="2:3" ht="15">
      <c r="B422" s="1">
        <v>15682</v>
      </c>
      <c r="C422" s="1" t="s">
        <v>653</v>
      </c>
    </row>
    <row r="423" spans="2:3" ht="15">
      <c r="B423" s="1">
        <v>15683</v>
      </c>
      <c r="C423" s="1" t="s">
        <v>653</v>
      </c>
    </row>
    <row r="424" spans="2:3" ht="15">
      <c r="B424" s="1">
        <v>15684</v>
      </c>
      <c r="C424" s="1" t="s">
        <v>653</v>
      </c>
    </row>
    <row r="425" spans="2:3" ht="15">
      <c r="B425" s="1">
        <v>15685</v>
      </c>
      <c r="C425" s="1" t="s">
        <v>653</v>
      </c>
    </row>
    <row r="426" spans="2:3" ht="15">
      <c r="B426" s="1">
        <v>15686</v>
      </c>
      <c r="C426" s="1" t="s">
        <v>653</v>
      </c>
    </row>
    <row r="427" spans="2:3" ht="15">
      <c r="B427" s="1">
        <v>15687</v>
      </c>
      <c r="C427" s="1" t="s">
        <v>653</v>
      </c>
    </row>
    <row r="428" spans="2:3" ht="15">
      <c r="B428" s="1">
        <v>15688</v>
      </c>
      <c r="C428" s="1" t="s">
        <v>653</v>
      </c>
    </row>
    <row r="429" spans="2:3" ht="15">
      <c r="B429" s="1">
        <v>15689</v>
      </c>
      <c r="C429" s="1" t="s">
        <v>653</v>
      </c>
    </row>
    <row r="430" spans="2:3" ht="15">
      <c r="B430" s="1">
        <v>15690</v>
      </c>
      <c r="C430" s="1" t="s">
        <v>653</v>
      </c>
    </row>
    <row r="431" spans="2:3" ht="15">
      <c r="B431" s="1">
        <v>15691</v>
      </c>
      <c r="C431" s="1" t="s">
        <v>653</v>
      </c>
    </row>
    <row r="432" spans="2:3" ht="15">
      <c r="B432" s="1">
        <v>15692</v>
      </c>
      <c r="C432" s="1" t="s">
        <v>653</v>
      </c>
    </row>
    <row r="433" spans="2:3" ht="15">
      <c r="B433" s="1">
        <v>15693</v>
      </c>
      <c r="C433" s="1" t="s">
        <v>653</v>
      </c>
    </row>
    <row r="434" spans="2:3" ht="15">
      <c r="B434" s="1">
        <v>15695</v>
      </c>
      <c r="C434" s="1" t="s">
        <v>653</v>
      </c>
    </row>
    <row r="435" spans="2:3" ht="15">
      <c r="B435" s="1">
        <v>15696</v>
      </c>
      <c r="C435" s="1" t="s">
        <v>653</v>
      </c>
    </row>
    <row r="436" spans="2:3" ht="15">
      <c r="B436" s="1">
        <v>15697</v>
      </c>
      <c r="C436" s="1" t="s">
        <v>653</v>
      </c>
    </row>
    <row r="437" spans="2:3" ht="15">
      <c r="B437" s="1">
        <v>15698</v>
      </c>
      <c r="C437" s="1" t="s">
        <v>653</v>
      </c>
    </row>
    <row r="438" spans="2:3" ht="15">
      <c r="B438" s="1">
        <v>15701</v>
      </c>
      <c r="C438" s="1" t="s">
        <v>653</v>
      </c>
    </row>
    <row r="439" spans="2:3" ht="15">
      <c r="B439" s="1">
        <v>15705</v>
      </c>
      <c r="C439" s="1" t="s">
        <v>653</v>
      </c>
    </row>
    <row r="440" spans="2:3" ht="15">
      <c r="B440" s="1">
        <v>15710</v>
      </c>
      <c r="C440" s="1" t="s">
        <v>653</v>
      </c>
    </row>
    <row r="441" spans="2:3" ht="15">
      <c r="B441" s="1">
        <v>15711</v>
      </c>
      <c r="C441" s="1" t="s">
        <v>650</v>
      </c>
    </row>
    <row r="442" spans="2:3" ht="15">
      <c r="B442" s="1">
        <v>15712</v>
      </c>
      <c r="C442" s="1" t="s">
        <v>653</v>
      </c>
    </row>
    <row r="443" spans="2:3" ht="15">
      <c r="B443" s="1">
        <v>15713</v>
      </c>
      <c r="C443" s="1" t="s">
        <v>653</v>
      </c>
    </row>
    <row r="444" spans="2:3" ht="15">
      <c r="B444" s="1">
        <v>15714</v>
      </c>
      <c r="C444" s="1" t="s">
        <v>653</v>
      </c>
    </row>
    <row r="445" spans="2:3" ht="15">
      <c r="B445" s="1">
        <v>15715</v>
      </c>
      <c r="C445" s="1" t="s">
        <v>650</v>
      </c>
    </row>
    <row r="446" spans="2:3" ht="15">
      <c r="B446" s="1">
        <v>15716</v>
      </c>
      <c r="C446" s="1" t="s">
        <v>653</v>
      </c>
    </row>
    <row r="447" spans="2:3" ht="15">
      <c r="B447" s="1">
        <v>15717</v>
      </c>
      <c r="C447" s="1" t="s">
        <v>653</v>
      </c>
    </row>
    <row r="448" spans="2:3" ht="15">
      <c r="B448" s="1">
        <v>15720</v>
      </c>
      <c r="C448" s="1" t="s">
        <v>653</v>
      </c>
    </row>
    <row r="449" spans="2:3" ht="15">
      <c r="B449" s="1">
        <v>15721</v>
      </c>
      <c r="C449" s="1" t="s">
        <v>649</v>
      </c>
    </row>
    <row r="450" spans="2:3" ht="15">
      <c r="B450" s="1">
        <v>15722</v>
      </c>
      <c r="C450" s="1" t="s">
        <v>653</v>
      </c>
    </row>
    <row r="451" spans="2:3" ht="15">
      <c r="B451" s="1">
        <v>15723</v>
      </c>
      <c r="C451" s="1" t="s">
        <v>653</v>
      </c>
    </row>
    <row r="452" spans="2:3" ht="15">
      <c r="B452" s="1">
        <v>15724</v>
      </c>
      <c r="C452" s="1" t="s">
        <v>653</v>
      </c>
    </row>
    <row r="453" spans="2:3" ht="15">
      <c r="B453" s="1">
        <v>15725</v>
      </c>
      <c r="C453" s="1" t="s">
        <v>653</v>
      </c>
    </row>
    <row r="454" spans="2:3" ht="15">
      <c r="B454" s="1">
        <v>15727</v>
      </c>
      <c r="C454" s="1" t="s">
        <v>653</v>
      </c>
    </row>
    <row r="455" spans="2:3" ht="15">
      <c r="B455" s="1">
        <v>15728</v>
      </c>
      <c r="C455" s="1" t="s">
        <v>653</v>
      </c>
    </row>
    <row r="456" spans="2:3" ht="15">
      <c r="B456" s="1">
        <v>15729</v>
      </c>
      <c r="C456" s="1" t="s">
        <v>653</v>
      </c>
    </row>
    <row r="457" spans="2:3" ht="15">
      <c r="B457" s="1">
        <v>15730</v>
      </c>
      <c r="C457" s="1" t="s">
        <v>650</v>
      </c>
    </row>
    <row r="458" spans="2:3" ht="15">
      <c r="B458" s="1">
        <v>15731</v>
      </c>
      <c r="C458" s="1" t="s">
        <v>653</v>
      </c>
    </row>
    <row r="459" spans="2:3" ht="15">
      <c r="B459" s="1">
        <v>15732</v>
      </c>
      <c r="C459" s="1" t="s">
        <v>653</v>
      </c>
    </row>
    <row r="460" spans="2:3" ht="15">
      <c r="B460" s="1">
        <v>15733</v>
      </c>
      <c r="C460" s="1" t="s">
        <v>650</v>
      </c>
    </row>
    <row r="461" spans="2:3" ht="15">
      <c r="B461" s="1">
        <v>15734</v>
      </c>
      <c r="C461" s="1" t="s">
        <v>653</v>
      </c>
    </row>
    <row r="462" spans="2:3" ht="15">
      <c r="B462" s="1">
        <v>15736</v>
      </c>
      <c r="C462" s="1" t="s">
        <v>653</v>
      </c>
    </row>
    <row r="463" spans="2:3" ht="15">
      <c r="B463" s="1">
        <v>15737</v>
      </c>
      <c r="C463" s="1" t="s">
        <v>653</v>
      </c>
    </row>
    <row r="464" spans="2:3" ht="15">
      <c r="B464" s="1">
        <v>15738</v>
      </c>
      <c r="C464" s="1" t="s">
        <v>653</v>
      </c>
    </row>
    <row r="465" spans="2:3" ht="15">
      <c r="B465" s="1">
        <v>15739</v>
      </c>
      <c r="C465" s="1" t="s">
        <v>653</v>
      </c>
    </row>
    <row r="466" spans="2:3" ht="15">
      <c r="B466" s="1">
        <v>15740</v>
      </c>
      <c r="C466" s="1" t="s">
        <v>650</v>
      </c>
    </row>
    <row r="467" spans="2:3" ht="15">
      <c r="B467" s="1">
        <v>15741</v>
      </c>
      <c r="C467" s="1" t="s">
        <v>653</v>
      </c>
    </row>
    <row r="468" spans="2:3" ht="15">
      <c r="B468" s="1">
        <v>15742</v>
      </c>
      <c r="C468" s="1" t="s">
        <v>653</v>
      </c>
    </row>
    <row r="469" spans="2:3" ht="15">
      <c r="B469" s="1">
        <v>15744</v>
      </c>
      <c r="C469" s="1" t="s">
        <v>650</v>
      </c>
    </row>
    <row r="470" spans="2:3" ht="15">
      <c r="B470" s="1">
        <v>15745</v>
      </c>
      <c r="C470" s="1" t="s">
        <v>653</v>
      </c>
    </row>
    <row r="471" spans="2:3" ht="15">
      <c r="B471" s="1">
        <v>15746</v>
      </c>
      <c r="C471" s="1" t="s">
        <v>653</v>
      </c>
    </row>
    <row r="472" spans="2:3" ht="15">
      <c r="B472" s="1">
        <v>15747</v>
      </c>
      <c r="C472" s="1" t="s">
        <v>653</v>
      </c>
    </row>
    <row r="473" spans="2:3" ht="15">
      <c r="B473" s="1">
        <v>15748</v>
      </c>
      <c r="C473" s="1" t="s">
        <v>653</v>
      </c>
    </row>
    <row r="474" spans="2:3" ht="15">
      <c r="B474" s="1">
        <v>15750</v>
      </c>
      <c r="C474" s="1" t="s">
        <v>653</v>
      </c>
    </row>
    <row r="475" spans="2:3" ht="15">
      <c r="B475" s="1">
        <v>15752</v>
      </c>
      <c r="C475" s="1" t="s">
        <v>653</v>
      </c>
    </row>
    <row r="476" spans="2:3" ht="15">
      <c r="B476" s="1">
        <v>15753</v>
      </c>
      <c r="C476" s="1" t="s">
        <v>649</v>
      </c>
    </row>
    <row r="477" spans="2:3" ht="15">
      <c r="B477" s="1">
        <v>15754</v>
      </c>
      <c r="C477" s="1" t="s">
        <v>653</v>
      </c>
    </row>
    <row r="478" spans="2:3" ht="15">
      <c r="B478" s="1">
        <v>15756</v>
      </c>
      <c r="C478" s="1" t="s">
        <v>653</v>
      </c>
    </row>
    <row r="479" spans="2:3" ht="15">
      <c r="B479" s="1">
        <v>15757</v>
      </c>
      <c r="C479" s="1" t="s">
        <v>649</v>
      </c>
    </row>
    <row r="480" spans="2:3" ht="15">
      <c r="B480" s="1">
        <v>15758</v>
      </c>
      <c r="C480" s="1" t="s">
        <v>653</v>
      </c>
    </row>
    <row r="481" spans="2:3" ht="15">
      <c r="B481" s="1">
        <v>15759</v>
      </c>
      <c r="C481" s="1" t="s">
        <v>653</v>
      </c>
    </row>
    <row r="482" spans="2:3" ht="15">
      <c r="B482" s="1">
        <v>15760</v>
      </c>
      <c r="C482" s="1" t="s">
        <v>653</v>
      </c>
    </row>
    <row r="483" spans="2:3" ht="15">
      <c r="B483" s="1">
        <v>15761</v>
      </c>
      <c r="C483" s="1" t="s">
        <v>653</v>
      </c>
    </row>
    <row r="484" spans="2:3" ht="15">
      <c r="B484" s="1">
        <v>15762</v>
      </c>
      <c r="C484" s="1" t="s">
        <v>653</v>
      </c>
    </row>
    <row r="485" spans="2:3" ht="15">
      <c r="B485" s="1">
        <v>15763</v>
      </c>
      <c r="C485" s="1" t="s">
        <v>653</v>
      </c>
    </row>
    <row r="486" spans="2:3" ht="15">
      <c r="B486" s="1">
        <v>15764</v>
      </c>
      <c r="C486" s="1" t="s">
        <v>650</v>
      </c>
    </row>
    <row r="487" spans="2:3" ht="15">
      <c r="B487" s="1">
        <v>15765</v>
      </c>
      <c r="C487" s="1" t="s">
        <v>653</v>
      </c>
    </row>
    <row r="488" spans="2:3" ht="15">
      <c r="B488" s="1">
        <v>15767</v>
      </c>
      <c r="C488" s="1" t="s">
        <v>650</v>
      </c>
    </row>
    <row r="489" spans="2:3" ht="15">
      <c r="B489" s="1">
        <v>15770</v>
      </c>
      <c r="C489" s="1" t="s">
        <v>650</v>
      </c>
    </row>
    <row r="490" spans="2:3" ht="15">
      <c r="B490" s="1">
        <v>15771</v>
      </c>
      <c r="C490" s="1" t="s">
        <v>653</v>
      </c>
    </row>
    <row r="491" spans="2:3" ht="15">
      <c r="B491" s="1">
        <v>15772</v>
      </c>
      <c r="C491" s="1" t="s">
        <v>653</v>
      </c>
    </row>
    <row r="492" spans="2:3" ht="15">
      <c r="B492" s="1">
        <v>15773</v>
      </c>
      <c r="C492" s="1" t="s">
        <v>653</v>
      </c>
    </row>
    <row r="493" spans="2:3" ht="15">
      <c r="B493" s="1">
        <v>15774</v>
      </c>
      <c r="C493" s="1" t="s">
        <v>653</v>
      </c>
    </row>
    <row r="494" spans="2:3" ht="15">
      <c r="B494" s="1">
        <v>15775</v>
      </c>
      <c r="C494" s="1" t="s">
        <v>653</v>
      </c>
    </row>
    <row r="495" spans="2:3" ht="15">
      <c r="B495" s="1">
        <v>15776</v>
      </c>
      <c r="C495" s="1" t="s">
        <v>650</v>
      </c>
    </row>
    <row r="496" spans="2:3" ht="15">
      <c r="B496" s="1">
        <v>15777</v>
      </c>
      <c r="C496" s="1" t="s">
        <v>653</v>
      </c>
    </row>
    <row r="497" spans="2:3" ht="15">
      <c r="B497" s="1">
        <v>15778</v>
      </c>
      <c r="C497" s="1" t="s">
        <v>650</v>
      </c>
    </row>
    <row r="498" spans="2:3" ht="15">
      <c r="B498" s="1">
        <v>15779</v>
      </c>
      <c r="C498" s="1" t="s">
        <v>653</v>
      </c>
    </row>
    <row r="499" spans="2:3" ht="15">
      <c r="B499" s="1">
        <v>15780</v>
      </c>
      <c r="C499" s="1" t="s">
        <v>650</v>
      </c>
    </row>
    <row r="500" spans="2:3" ht="15">
      <c r="B500" s="1">
        <v>15781</v>
      </c>
      <c r="C500" s="1" t="s">
        <v>650</v>
      </c>
    </row>
    <row r="501" spans="2:3" ht="15">
      <c r="B501" s="1">
        <v>15783</v>
      </c>
      <c r="C501" s="1" t="s">
        <v>653</v>
      </c>
    </row>
    <row r="502" spans="2:3" ht="15">
      <c r="B502" s="1">
        <v>15784</v>
      </c>
      <c r="C502" s="1" t="s">
        <v>650</v>
      </c>
    </row>
    <row r="503" spans="2:3" ht="15">
      <c r="B503" s="1">
        <v>15801</v>
      </c>
      <c r="C503" s="1" t="s">
        <v>649</v>
      </c>
    </row>
    <row r="504" spans="2:3" ht="15">
      <c r="B504" s="1">
        <v>15821</v>
      </c>
      <c r="C504" s="1" t="s">
        <v>649</v>
      </c>
    </row>
    <row r="505" spans="2:3" ht="15">
      <c r="B505" s="1">
        <v>15822</v>
      </c>
      <c r="C505" s="1" t="s">
        <v>649</v>
      </c>
    </row>
    <row r="506" spans="2:3" ht="15">
      <c r="B506" s="1">
        <v>15823</v>
      </c>
      <c r="C506" s="1" t="s">
        <v>649</v>
      </c>
    </row>
    <row r="507" spans="2:3" ht="15">
      <c r="B507" s="1">
        <v>15824</v>
      </c>
      <c r="C507" s="1" t="s">
        <v>650</v>
      </c>
    </row>
    <row r="508" spans="2:3" ht="15">
      <c r="B508" s="1">
        <v>15825</v>
      </c>
      <c r="C508" s="1" t="s">
        <v>650</v>
      </c>
    </row>
    <row r="509" spans="2:3" ht="15">
      <c r="B509" s="1">
        <v>15827</v>
      </c>
      <c r="C509" s="1" t="s">
        <v>649</v>
      </c>
    </row>
    <row r="510" spans="2:3" ht="15">
      <c r="B510" s="1">
        <v>15828</v>
      </c>
      <c r="C510" s="1" t="s">
        <v>650</v>
      </c>
    </row>
    <row r="511" spans="2:3" ht="15">
      <c r="B511" s="1">
        <v>15829</v>
      </c>
      <c r="C511" s="1" t="s">
        <v>650</v>
      </c>
    </row>
    <row r="512" spans="2:3" ht="15">
      <c r="B512" s="1">
        <v>15831</v>
      </c>
      <c r="C512" s="1" t="s">
        <v>649</v>
      </c>
    </row>
    <row r="513" spans="2:3" ht="15">
      <c r="B513" s="1">
        <v>15832</v>
      </c>
      <c r="C513" s="1" t="s">
        <v>649</v>
      </c>
    </row>
    <row r="514" spans="2:3" ht="15">
      <c r="B514" s="1">
        <v>15834</v>
      </c>
      <c r="C514" s="1" t="s">
        <v>649</v>
      </c>
    </row>
    <row r="515" spans="2:3" ht="15">
      <c r="B515" s="1">
        <v>15840</v>
      </c>
      <c r="C515" s="1" t="s">
        <v>650</v>
      </c>
    </row>
    <row r="516" spans="2:3" ht="15">
      <c r="B516" s="1">
        <v>15841</v>
      </c>
      <c r="C516" s="1" t="s">
        <v>649</v>
      </c>
    </row>
    <row r="517" spans="2:3" ht="15">
      <c r="B517" s="1">
        <v>15845</v>
      </c>
      <c r="C517" s="1" t="s">
        <v>649</v>
      </c>
    </row>
    <row r="518" spans="2:3" ht="15">
      <c r="B518" s="1">
        <v>15846</v>
      </c>
      <c r="C518" s="1" t="s">
        <v>649</v>
      </c>
    </row>
    <row r="519" spans="2:3" ht="15">
      <c r="B519" s="1">
        <v>15847</v>
      </c>
      <c r="C519" s="1" t="s">
        <v>650</v>
      </c>
    </row>
    <row r="520" spans="2:3" ht="15">
      <c r="B520" s="1">
        <v>15848</v>
      </c>
      <c r="C520" s="1" t="s">
        <v>649</v>
      </c>
    </row>
    <row r="521" spans="2:3" ht="15">
      <c r="B521" s="1">
        <v>15849</v>
      </c>
      <c r="C521" s="1" t="s">
        <v>649</v>
      </c>
    </row>
    <row r="522" spans="2:3" ht="15">
      <c r="B522" s="1">
        <v>15851</v>
      </c>
      <c r="C522" s="1" t="s">
        <v>650</v>
      </c>
    </row>
    <row r="523" spans="2:3" ht="15">
      <c r="B523" s="1">
        <v>15853</v>
      </c>
      <c r="C523" s="1" t="s">
        <v>649</v>
      </c>
    </row>
    <row r="524" spans="2:3" ht="15">
      <c r="B524" s="1">
        <v>15856</v>
      </c>
      <c r="C524" s="1" t="s">
        <v>649</v>
      </c>
    </row>
    <row r="525" spans="2:3" ht="15">
      <c r="B525" s="1">
        <v>15857</v>
      </c>
      <c r="C525" s="1" t="s">
        <v>649</v>
      </c>
    </row>
    <row r="526" spans="2:3" ht="15">
      <c r="B526" s="1">
        <v>15860</v>
      </c>
      <c r="C526" s="1" t="s">
        <v>650</v>
      </c>
    </row>
    <row r="527" spans="2:3" ht="15">
      <c r="B527" s="1">
        <v>15861</v>
      </c>
      <c r="C527" s="1" t="s">
        <v>649</v>
      </c>
    </row>
    <row r="528" spans="2:3" ht="15">
      <c r="B528" s="1">
        <v>15863</v>
      </c>
      <c r="C528" s="1" t="s">
        <v>650</v>
      </c>
    </row>
    <row r="529" spans="2:3" ht="15">
      <c r="B529" s="1">
        <v>15864</v>
      </c>
      <c r="C529" s="1" t="s">
        <v>650</v>
      </c>
    </row>
    <row r="530" spans="2:3" ht="15">
      <c r="B530" s="1">
        <v>15865</v>
      </c>
      <c r="C530" s="1" t="s">
        <v>650</v>
      </c>
    </row>
    <row r="531" spans="2:3" ht="15">
      <c r="B531" s="1">
        <v>15866</v>
      </c>
      <c r="C531" s="1" t="s">
        <v>649</v>
      </c>
    </row>
    <row r="532" spans="2:3" ht="15">
      <c r="B532" s="1">
        <v>15868</v>
      </c>
      <c r="C532" s="1" t="s">
        <v>649</v>
      </c>
    </row>
    <row r="533" spans="2:3" ht="15">
      <c r="B533" s="1">
        <v>15870</v>
      </c>
      <c r="C533" s="1" t="s">
        <v>649</v>
      </c>
    </row>
    <row r="534" spans="2:3" ht="15">
      <c r="B534" s="1">
        <v>15901</v>
      </c>
      <c r="C534" s="1" t="s">
        <v>653</v>
      </c>
    </row>
    <row r="535" spans="2:3" ht="15">
      <c r="B535" s="1">
        <v>15902</v>
      </c>
      <c r="C535" s="1" t="s">
        <v>653</v>
      </c>
    </row>
    <row r="536" spans="2:3" ht="15">
      <c r="B536" s="1">
        <v>15904</v>
      </c>
      <c r="C536" s="1" t="s">
        <v>653</v>
      </c>
    </row>
    <row r="537" spans="2:3" ht="15">
      <c r="B537" s="1">
        <v>15905</v>
      </c>
      <c r="C537" s="1" t="s">
        <v>653</v>
      </c>
    </row>
    <row r="538" spans="2:3" ht="15">
      <c r="B538" s="1">
        <v>15906</v>
      </c>
      <c r="C538" s="1" t="s">
        <v>653</v>
      </c>
    </row>
    <row r="539" spans="2:3" ht="15">
      <c r="B539" s="1">
        <v>15907</v>
      </c>
      <c r="C539" s="1" t="s">
        <v>653</v>
      </c>
    </row>
    <row r="540" spans="2:3" ht="15">
      <c r="B540" s="1">
        <v>15909</v>
      </c>
      <c r="C540" s="1" t="s">
        <v>653</v>
      </c>
    </row>
    <row r="541" spans="2:3" ht="15">
      <c r="B541" s="1">
        <v>15915</v>
      </c>
      <c r="C541" s="1" t="s">
        <v>653</v>
      </c>
    </row>
    <row r="542" spans="2:3" ht="15">
      <c r="B542" s="1">
        <v>15920</v>
      </c>
      <c r="C542" s="1" t="s">
        <v>653</v>
      </c>
    </row>
    <row r="543" spans="2:3" ht="15">
      <c r="B543" s="1">
        <v>15921</v>
      </c>
      <c r="C543" s="1" t="s">
        <v>653</v>
      </c>
    </row>
    <row r="544" spans="2:3" ht="15">
      <c r="B544" s="1">
        <v>15922</v>
      </c>
      <c r="C544" s="1" t="s">
        <v>653</v>
      </c>
    </row>
    <row r="545" spans="2:3" ht="15">
      <c r="B545" s="1">
        <v>15923</v>
      </c>
      <c r="C545" s="1" t="s">
        <v>653</v>
      </c>
    </row>
    <row r="546" spans="2:3" ht="15">
      <c r="B546" s="1">
        <v>15924</v>
      </c>
      <c r="C546" s="1" t="s">
        <v>653</v>
      </c>
    </row>
    <row r="547" spans="2:3" ht="15">
      <c r="B547" s="1">
        <v>15925</v>
      </c>
      <c r="C547" s="1" t="s">
        <v>653</v>
      </c>
    </row>
    <row r="548" spans="2:3" ht="15">
      <c r="B548" s="1">
        <v>15926</v>
      </c>
      <c r="C548" s="1" t="s">
        <v>653</v>
      </c>
    </row>
    <row r="549" spans="2:3" ht="15">
      <c r="B549" s="1">
        <v>15927</v>
      </c>
      <c r="C549" s="1" t="s">
        <v>653</v>
      </c>
    </row>
    <row r="550" spans="2:3" ht="15">
      <c r="B550" s="1">
        <v>15928</v>
      </c>
      <c r="C550" s="1" t="s">
        <v>653</v>
      </c>
    </row>
    <row r="551" spans="2:3" ht="15">
      <c r="B551" s="1">
        <v>15929</v>
      </c>
      <c r="C551" s="1" t="s">
        <v>653</v>
      </c>
    </row>
    <row r="552" spans="2:3" ht="15">
      <c r="B552" s="1">
        <v>15930</v>
      </c>
      <c r="C552" s="1" t="s">
        <v>653</v>
      </c>
    </row>
    <row r="553" spans="2:3" ht="15">
      <c r="B553" s="1">
        <v>15931</v>
      </c>
      <c r="C553" s="1" t="s">
        <v>653</v>
      </c>
    </row>
    <row r="554" spans="2:3" ht="15">
      <c r="B554" s="1">
        <v>15934</v>
      </c>
      <c r="C554" s="1" t="s">
        <v>653</v>
      </c>
    </row>
    <row r="555" spans="2:3" ht="15">
      <c r="B555" s="1">
        <v>15935</v>
      </c>
      <c r="C555" s="1" t="s">
        <v>653</v>
      </c>
    </row>
    <row r="556" spans="2:3" ht="15">
      <c r="B556" s="1">
        <v>15936</v>
      </c>
      <c r="C556" s="1" t="s">
        <v>653</v>
      </c>
    </row>
    <row r="557" spans="2:3" ht="15">
      <c r="B557" s="1">
        <v>15937</v>
      </c>
      <c r="C557" s="1" t="s">
        <v>653</v>
      </c>
    </row>
    <row r="558" spans="2:3" ht="15">
      <c r="B558" s="1">
        <v>15938</v>
      </c>
      <c r="C558" s="1" t="s">
        <v>653</v>
      </c>
    </row>
    <row r="559" spans="2:3" ht="15">
      <c r="B559" s="1">
        <v>15940</v>
      </c>
      <c r="C559" s="1" t="s">
        <v>653</v>
      </c>
    </row>
    <row r="560" spans="2:3" ht="15">
      <c r="B560" s="1">
        <v>15942</v>
      </c>
      <c r="C560" s="1" t="s">
        <v>653</v>
      </c>
    </row>
    <row r="561" spans="2:3" ht="15">
      <c r="B561" s="1">
        <v>15943</v>
      </c>
      <c r="C561" s="1" t="s">
        <v>653</v>
      </c>
    </row>
    <row r="562" spans="2:3" ht="15">
      <c r="B562" s="1">
        <v>15944</v>
      </c>
      <c r="C562" s="1" t="s">
        <v>653</v>
      </c>
    </row>
    <row r="563" spans="2:3" ht="15">
      <c r="B563" s="1">
        <v>15945</v>
      </c>
      <c r="C563" s="1" t="s">
        <v>653</v>
      </c>
    </row>
    <row r="564" spans="2:3" ht="15">
      <c r="B564" s="1">
        <v>15946</v>
      </c>
      <c r="C564" s="1" t="s">
        <v>653</v>
      </c>
    </row>
    <row r="565" spans="2:3" ht="15">
      <c r="B565" s="1">
        <v>15948</v>
      </c>
      <c r="C565" s="1" t="s">
        <v>653</v>
      </c>
    </row>
    <row r="566" spans="2:3" ht="15">
      <c r="B566" s="1">
        <v>15949</v>
      </c>
      <c r="C566" s="1" t="s">
        <v>653</v>
      </c>
    </row>
    <row r="567" spans="2:3" ht="15">
      <c r="B567" s="1">
        <v>15951</v>
      </c>
      <c r="C567" s="1" t="s">
        <v>653</v>
      </c>
    </row>
    <row r="568" spans="2:3" ht="15">
      <c r="B568" s="1">
        <v>15952</v>
      </c>
      <c r="C568" s="1" t="s">
        <v>653</v>
      </c>
    </row>
    <row r="569" spans="2:3" ht="15">
      <c r="B569" s="1">
        <v>15953</v>
      </c>
      <c r="C569" s="1" t="s">
        <v>653</v>
      </c>
    </row>
    <row r="570" spans="2:3" ht="15">
      <c r="B570" s="1">
        <v>15954</v>
      </c>
      <c r="C570" s="1" t="s">
        <v>653</v>
      </c>
    </row>
    <row r="571" spans="2:3" ht="15">
      <c r="B571" s="1">
        <v>15955</v>
      </c>
      <c r="C571" s="1" t="s">
        <v>653</v>
      </c>
    </row>
    <row r="572" spans="2:3" ht="15">
      <c r="B572" s="1">
        <v>15956</v>
      </c>
      <c r="C572" s="1" t="s">
        <v>653</v>
      </c>
    </row>
    <row r="573" spans="2:3" ht="15">
      <c r="B573" s="1">
        <v>15957</v>
      </c>
      <c r="C573" s="1" t="s">
        <v>653</v>
      </c>
    </row>
    <row r="574" spans="2:3" ht="15">
      <c r="B574" s="1">
        <v>15958</v>
      </c>
      <c r="C574" s="1" t="s">
        <v>653</v>
      </c>
    </row>
    <row r="575" spans="2:3" ht="15">
      <c r="B575" s="1">
        <v>15959</v>
      </c>
      <c r="C575" s="1" t="s">
        <v>653</v>
      </c>
    </row>
    <row r="576" spans="2:3" ht="15">
      <c r="B576" s="1">
        <v>15960</v>
      </c>
      <c r="C576" s="1" t="s">
        <v>653</v>
      </c>
    </row>
    <row r="577" spans="2:3" ht="15">
      <c r="B577" s="1">
        <v>15961</v>
      </c>
      <c r="C577" s="1" t="s">
        <v>653</v>
      </c>
    </row>
    <row r="578" spans="2:3" ht="15">
      <c r="B578" s="1">
        <v>15962</v>
      </c>
      <c r="C578" s="1" t="s">
        <v>653</v>
      </c>
    </row>
    <row r="579" spans="2:3" ht="15">
      <c r="B579" s="1">
        <v>15963</v>
      </c>
      <c r="C579" s="1" t="s">
        <v>653</v>
      </c>
    </row>
    <row r="580" spans="2:3" ht="15">
      <c r="B580" s="1">
        <v>16001</v>
      </c>
      <c r="C580" s="1" t="s">
        <v>653</v>
      </c>
    </row>
    <row r="581" spans="2:3" ht="15">
      <c r="B581" s="1">
        <v>16002</v>
      </c>
      <c r="C581" s="1" t="s">
        <v>653</v>
      </c>
    </row>
    <row r="582" spans="2:3" ht="15">
      <c r="B582" s="1">
        <v>16003</v>
      </c>
      <c r="C582" s="1" t="s">
        <v>653</v>
      </c>
    </row>
    <row r="583" spans="2:3" ht="15">
      <c r="B583" s="1">
        <v>16016</v>
      </c>
      <c r="C583" s="1" t="s">
        <v>653</v>
      </c>
    </row>
    <row r="584" spans="2:3" ht="15">
      <c r="B584" s="1">
        <v>16017</v>
      </c>
      <c r="C584" s="1" t="s">
        <v>653</v>
      </c>
    </row>
    <row r="585" spans="2:3" ht="15">
      <c r="B585" s="1">
        <v>16018</v>
      </c>
      <c r="C585" s="1" t="s">
        <v>653</v>
      </c>
    </row>
    <row r="586" spans="2:3" ht="15">
      <c r="B586" s="1">
        <v>16020</v>
      </c>
      <c r="C586" s="1" t="s">
        <v>653</v>
      </c>
    </row>
    <row r="587" spans="2:3" ht="15">
      <c r="B587" s="1">
        <v>16021</v>
      </c>
      <c r="C587" s="1" t="s">
        <v>653</v>
      </c>
    </row>
    <row r="588" spans="2:3" ht="15">
      <c r="B588" s="1">
        <v>16022</v>
      </c>
      <c r="C588" s="1" t="s">
        <v>653</v>
      </c>
    </row>
    <row r="589" spans="2:3" ht="15">
      <c r="B589" s="1">
        <v>16023</v>
      </c>
      <c r="C589" s="1" t="s">
        <v>653</v>
      </c>
    </row>
    <row r="590" spans="2:3" ht="15">
      <c r="B590" s="1">
        <v>16024</v>
      </c>
      <c r="C590" s="1" t="s">
        <v>653</v>
      </c>
    </row>
    <row r="591" spans="2:3" ht="15">
      <c r="B591" s="1">
        <v>16025</v>
      </c>
      <c r="C591" s="1" t="s">
        <v>653</v>
      </c>
    </row>
    <row r="592" spans="2:3" ht="15">
      <c r="B592" s="1">
        <v>16027</v>
      </c>
      <c r="C592" s="1" t="s">
        <v>653</v>
      </c>
    </row>
    <row r="593" spans="2:3" ht="15">
      <c r="B593" s="1">
        <v>16028</v>
      </c>
      <c r="C593" s="1" t="s">
        <v>653</v>
      </c>
    </row>
    <row r="594" spans="2:3" ht="15">
      <c r="B594" s="1">
        <v>16029</v>
      </c>
      <c r="C594" s="1" t="s">
        <v>653</v>
      </c>
    </row>
    <row r="595" spans="2:3" ht="15">
      <c r="B595" s="1">
        <v>16030</v>
      </c>
      <c r="C595" s="1" t="s">
        <v>653</v>
      </c>
    </row>
    <row r="596" spans="2:3" ht="15">
      <c r="B596" s="1">
        <v>16033</v>
      </c>
      <c r="C596" s="1" t="s">
        <v>653</v>
      </c>
    </row>
    <row r="597" spans="2:3" ht="15">
      <c r="B597" s="1">
        <v>16034</v>
      </c>
      <c r="C597" s="1" t="s">
        <v>653</v>
      </c>
    </row>
    <row r="598" spans="2:3" ht="15">
      <c r="B598" s="1">
        <v>16035</v>
      </c>
      <c r="C598" s="1" t="s">
        <v>653</v>
      </c>
    </row>
    <row r="599" spans="2:3" ht="15">
      <c r="B599" s="1">
        <v>16036</v>
      </c>
      <c r="C599" s="1" t="s">
        <v>650</v>
      </c>
    </row>
    <row r="600" spans="2:3" ht="15">
      <c r="B600" s="1">
        <v>16037</v>
      </c>
      <c r="C600" s="1" t="s">
        <v>653</v>
      </c>
    </row>
    <row r="601" spans="2:3" ht="15">
      <c r="B601" s="1">
        <v>16038</v>
      </c>
      <c r="C601" s="1" t="s">
        <v>653</v>
      </c>
    </row>
    <row r="602" spans="2:3" ht="15">
      <c r="B602" s="1">
        <v>16039</v>
      </c>
      <c r="C602" s="1" t="s">
        <v>653</v>
      </c>
    </row>
    <row r="603" spans="2:3" ht="15">
      <c r="B603" s="1">
        <v>16040</v>
      </c>
      <c r="C603" s="1" t="s">
        <v>653</v>
      </c>
    </row>
    <row r="604" spans="2:3" ht="15">
      <c r="B604" s="1">
        <v>16041</v>
      </c>
      <c r="C604" s="1" t="s">
        <v>653</v>
      </c>
    </row>
    <row r="605" spans="2:3" ht="15">
      <c r="B605" s="1">
        <v>16045</v>
      </c>
      <c r="C605" s="1" t="s">
        <v>653</v>
      </c>
    </row>
    <row r="606" spans="2:3" ht="15">
      <c r="B606" s="1">
        <v>16046</v>
      </c>
      <c r="C606" s="1" t="s">
        <v>653</v>
      </c>
    </row>
    <row r="607" spans="2:3" ht="15">
      <c r="B607" s="1">
        <v>16048</v>
      </c>
      <c r="C607" s="1" t="s">
        <v>653</v>
      </c>
    </row>
    <row r="608" spans="2:3" ht="15">
      <c r="B608" s="1">
        <v>16049</v>
      </c>
      <c r="C608" s="1" t="s">
        <v>653</v>
      </c>
    </row>
    <row r="609" spans="2:3" ht="15">
      <c r="B609" s="1">
        <v>16050</v>
      </c>
      <c r="C609" s="1" t="s">
        <v>653</v>
      </c>
    </row>
    <row r="610" spans="2:3" ht="15">
      <c r="B610" s="1">
        <v>16051</v>
      </c>
      <c r="C610" s="1" t="s">
        <v>653</v>
      </c>
    </row>
    <row r="611" spans="2:3" ht="15">
      <c r="B611" s="1">
        <v>16052</v>
      </c>
      <c r="C611" s="1" t="s">
        <v>653</v>
      </c>
    </row>
    <row r="612" spans="2:3" ht="15">
      <c r="B612" s="1">
        <v>16053</v>
      </c>
      <c r="C612" s="1" t="s">
        <v>653</v>
      </c>
    </row>
    <row r="613" spans="2:3" ht="15">
      <c r="B613" s="1">
        <v>16054</v>
      </c>
      <c r="C613" s="1" t="s">
        <v>650</v>
      </c>
    </row>
    <row r="614" spans="2:3" ht="15">
      <c r="B614" s="1">
        <v>16055</v>
      </c>
      <c r="C614" s="1" t="s">
        <v>653</v>
      </c>
    </row>
    <row r="615" spans="2:3" ht="15">
      <c r="B615" s="1">
        <v>16056</v>
      </c>
      <c r="C615" s="1" t="s">
        <v>653</v>
      </c>
    </row>
    <row r="616" spans="2:3" ht="15">
      <c r="B616" s="1">
        <v>16057</v>
      </c>
      <c r="C616" s="1" t="s">
        <v>653</v>
      </c>
    </row>
    <row r="617" spans="2:3" ht="15">
      <c r="B617" s="1">
        <v>16058</v>
      </c>
      <c r="C617" s="1" t="s">
        <v>653</v>
      </c>
    </row>
    <row r="618" spans="2:3" ht="15">
      <c r="B618" s="1">
        <v>16059</v>
      </c>
      <c r="C618" s="1" t="s">
        <v>653</v>
      </c>
    </row>
    <row r="619" spans="2:3" ht="15">
      <c r="B619" s="1">
        <v>16061</v>
      </c>
      <c r="C619" s="1" t="s">
        <v>653</v>
      </c>
    </row>
    <row r="620" spans="2:3" ht="15">
      <c r="B620" s="1">
        <v>16063</v>
      </c>
      <c r="C620" s="1" t="s">
        <v>653</v>
      </c>
    </row>
    <row r="621" spans="2:3" ht="15">
      <c r="B621" s="1">
        <v>16066</v>
      </c>
      <c r="C621" s="1" t="s">
        <v>653</v>
      </c>
    </row>
    <row r="622" spans="2:3" ht="15">
      <c r="B622" s="1">
        <v>16101</v>
      </c>
      <c r="C622" s="1" t="s">
        <v>653</v>
      </c>
    </row>
    <row r="623" spans="2:3" ht="15">
      <c r="B623" s="1">
        <v>16102</v>
      </c>
      <c r="C623" s="1" t="s">
        <v>653</v>
      </c>
    </row>
    <row r="624" spans="2:3" ht="15">
      <c r="B624" s="1">
        <v>16103</v>
      </c>
      <c r="C624" s="1" t="s">
        <v>653</v>
      </c>
    </row>
    <row r="625" spans="2:3" ht="15">
      <c r="B625" s="1">
        <v>16105</v>
      </c>
      <c r="C625" s="1" t="s">
        <v>653</v>
      </c>
    </row>
    <row r="626" spans="2:3" ht="15">
      <c r="B626" s="1">
        <v>16107</v>
      </c>
      <c r="C626" s="1" t="s">
        <v>653</v>
      </c>
    </row>
    <row r="627" spans="2:3" ht="15">
      <c r="B627" s="1">
        <v>16108</v>
      </c>
      <c r="C627" s="1" t="s">
        <v>653</v>
      </c>
    </row>
    <row r="628" spans="2:3" ht="15">
      <c r="B628" s="1">
        <v>16110</v>
      </c>
      <c r="C628" s="1" t="s">
        <v>650</v>
      </c>
    </row>
    <row r="629" spans="2:3" ht="15">
      <c r="B629" s="1">
        <v>16111</v>
      </c>
      <c r="C629" s="1" t="s">
        <v>650</v>
      </c>
    </row>
    <row r="630" spans="2:3" ht="15">
      <c r="B630" s="1">
        <v>16112</v>
      </c>
      <c r="C630" s="1" t="s">
        <v>653</v>
      </c>
    </row>
    <row r="631" spans="2:3" ht="15">
      <c r="B631" s="1">
        <v>16113</v>
      </c>
      <c r="C631" s="1" t="s">
        <v>650</v>
      </c>
    </row>
    <row r="632" spans="2:3" ht="15">
      <c r="B632" s="1">
        <v>16114</v>
      </c>
      <c r="C632" s="1" t="s">
        <v>650</v>
      </c>
    </row>
    <row r="633" spans="2:3" ht="15">
      <c r="B633" s="1">
        <v>16115</v>
      </c>
      <c r="C633" s="1" t="s">
        <v>653</v>
      </c>
    </row>
    <row r="634" spans="2:3" ht="15">
      <c r="B634" s="1">
        <v>16116</v>
      </c>
      <c r="C634" s="1" t="s">
        <v>653</v>
      </c>
    </row>
    <row r="635" spans="2:3" ht="15">
      <c r="B635" s="1">
        <v>16117</v>
      </c>
      <c r="C635" s="1" t="s">
        <v>653</v>
      </c>
    </row>
    <row r="636" spans="2:3" ht="15">
      <c r="B636" s="1">
        <v>16120</v>
      </c>
      <c r="C636" s="1" t="s">
        <v>653</v>
      </c>
    </row>
    <row r="637" spans="2:3" ht="15">
      <c r="B637" s="1">
        <v>16121</v>
      </c>
      <c r="C637" s="1" t="s">
        <v>650</v>
      </c>
    </row>
    <row r="638" spans="2:3" ht="15">
      <c r="B638" s="1">
        <v>16123</v>
      </c>
      <c r="C638" s="1" t="s">
        <v>653</v>
      </c>
    </row>
    <row r="639" spans="2:3" ht="15">
      <c r="B639" s="1">
        <v>16124</v>
      </c>
      <c r="C639" s="1" t="s">
        <v>650</v>
      </c>
    </row>
    <row r="640" spans="2:3" ht="15">
      <c r="B640" s="1">
        <v>16125</v>
      </c>
      <c r="C640" s="1" t="s">
        <v>650</v>
      </c>
    </row>
    <row r="641" spans="2:3" ht="15">
      <c r="B641" s="1">
        <v>16127</v>
      </c>
      <c r="C641" s="1" t="s">
        <v>650</v>
      </c>
    </row>
    <row r="642" spans="2:3" ht="15">
      <c r="B642" s="1">
        <v>16130</v>
      </c>
      <c r="C642" s="1" t="s">
        <v>650</v>
      </c>
    </row>
    <row r="643" spans="2:3" ht="15">
      <c r="B643" s="1">
        <v>16131</v>
      </c>
      <c r="C643" s="1" t="s">
        <v>650</v>
      </c>
    </row>
    <row r="644" spans="2:3" ht="15">
      <c r="B644" s="1">
        <v>16132</v>
      </c>
      <c r="C644" s="1" t="s">
        <v>653</v>
      </c>
    </row>
    <row r="645" spans="2:3" ht="15">
      <c r="B645" s="1">
        <v>16133</v>
      </c>
      <c r="C645" s="1" t="s">
        <v>650</v>
      </c>
    </row>
    <row r="646" spans="2:3" ht="15">
      <c r="B646" s="1">
        <v>16134</v>
      </c>
      <c r="C646" s="1" t="s">
        <v>650</v>
      </c>
    </row>
    <row r="647" spans="2:3" ht="15">
      <c r="B647" s="1">
        <v>16136</v>
      </c>
      <c r="C647" s="1" t="s">
        <v>653</v>
      </c>
    </row>
    <row r="648" spans="2:3" ht="15">
      <c r="B648" s="1">
        <v>16137</v>
      </c>
      <c r="C648" s="1" t="s">
        <v>650</v>
      </c>
    </row>
    <row r="649" spans="2:3" ht="15">
      <c r="B649" s="1">
        <v>16140</v>
      </c>
      <c r="C649" s="1" t="s">
        <v>653</v>
      </c>
    </row>
    <row r="650" spans="2:3" ht="15">
      <c r="B650" s="1">
        <v>16141</v>
      </c>
      <c r="C650" s="1" t="s">
        <v>653</v>
      </c>
    </row>
    <row r="651" spans="2:3" ht="15">
      <c r="B651" s="1">
        <v>16142</v>
      </c>
      <c r="C651" s="1" t="s">
        <v>653</v>
      </c>
    </row>
    <row r="652" spans="2:3" ht="15">
      <c r="B652" s="1">
        <v>16143</v>
      </c>
      <c r="C652" s="1" t="s">
        <v>653</v>
      </c>
    </row>
    <row r="653" spans="2:3" ht="15">
      <c r="B653" s="1">
        <v>16145</v>
      </c>
      <c r="C653" s="1" t="s">
        <v>650</v>
      </c>
    </row>
    <row r="654" spans="2:3" ht="15">
      <c r="B654" s="1">
        <v>16146</v>
      </c>
      <c r="C654" s="1" t="s">
        <v>650</v>
      </c>
    </row>
    <row r="655" spans="2:3" ht="15">
      <c r="B655" s="1">
        <v>16148</v>
      </c>
      <c r="C655" s="1" t="s">
        <v>650</v>
      </c>
    </row>
    <row r="656" spans="2:3" ht="15">
      <c r="B656" s="1">
        <v>16150</v>
      </c>
      <c r="C656" s="1" t="s">
        <v>650</v>
      </c>
    </row>
    <row r="657" spans="2:3" ht="15">
      <c r="B657" s="1">
        <v>16151</v>
      </c>
      <c r="C657" s="1" t="s">
        <v>650</v>
      </c>
    </row>
    <row r="658" spans="2:3" ht="15">
      <c r="B658" s="1">
        <v>16153</v>
      </c>
      <c r="C658" s="1" t="s">
        <v>650</v>
      </c>
    </row>
    <row r="659" spans="2:3" ht="15">
      <c r="B659" s="1">
        <v>16154</v>
      </c>
      <c r="C659" s="1" t="s">
        <v>650</v>
      </c>
    </row>
    <row r="660" spans="2:3" ht="15">
      <c r="B660" s="1">
        <v>16155</v>
      </c>
      <c r="C660" s="1" t="s">
        <v>653</v>
      </c>
    </row>
    <row r="661" spans="2:3" ht="15">
      <c r="B661" s="1">
        <v>16156</v>
      </c>
      <c r="C661" s="1" t="s">
        <v>653</v>
      </c>
    </row>
    <row r="662" spans="2:3" ht="15">
      <c r="B662" s="1">
        <v>16157</v>
      </c>
      <c r="C662" s="1" t="s">
        <v>653</v>
      </c>
    </row>
    <row r="663" spans="2:3" ht="15">
      <c r="B663" s="1">
        <v>16159</v>
      </c>
      <c r="C663" s="1" t="s">
        <v>650</v>
      </c>
    </row>
    <row r="664" spans="2:3" ht="15">
      <c r="B664" s="1">
        <v>16160</v>
      </c>
      <c r="C664" s="1" t="s">
        <v>653</v>
      </c>
    </row>
    <row r="665" spans="2:3" ht="15">
      <c r="B665" s="1">
        <v>16161</v>
      </c>
      <c r="C665" s="1" t="s">
        <v>650</v>
      </c>
    </row>
    <row r="666" spans="2:3" ht="15">
      <c r="B666" s="1">
        <v>16172</v>
      </c>
      <c r="C666" s="1" t="s">
        <v>653</v>
      </c>
    </row>
    <row r="667" spans="2:3" ht="15">
      <c r="B667" s="1">
        <v>16201</v>
      </c>
      <c r="C667" s="1" t="s">
        <v>653</v>
      </c>
    </row>
    <row r="668" spans="2:3" ht="15">
      <c r="B668" s="1">
        <v>16210</v>
      </c>
      <c r="C668" s="1" t="s">
        <v>653</v>
      </c>
    </row>
    <row r="669" spans="2:3" ht="15">
      <c r="B669" s="1">
        <v>16211</v>
      </c>
      <c r="C669" s="1" t="s">
        <v>653</v>
      </c>
    </row>
    <row r="670" spans="2:3" ht="15">
      <c r="B670" s="1">
        <v>16212</v>
      </c>
      <c r="C670" s="1" t="s">
        <v>653</v>
      </c>
    </row>
    <row r="671" spans="2:3" ht="15">
      <c r="B671" s="1">
        <v>16213</v>
      </c>
      <c r="C671" s="1" t="s">
        <v>650</v>
      </c>
    </row>
    <row r="672" spans="2:3" ht="15">
      <c r="B672" s="1">
        <v>16214</v>
      </c>
      <c r="C672" s="1" t="s">
        <v>650</v>
      </c>
    </row>
    <row r="673" spans="2:3" ht="15">
      <c r="B673" s="1">
        <v>16215</v>
      </c>
      <c r="C673" s="1" t="s">
        <v>653</v>
      </c>
    </row>
    <row r="674" spans="2:3" ht="15">
      <c r="B674" s="1">
        <v>16217</v>
      </c>
      <c r="C674" s="1" t="s">
        <v>650</v>
      </c>
    </row>
    <row r="675" spans="2:3" ht="15">
      <c r="B675" s="1">
        <v>16218</v>
      </c>
      <c r="C675" s="1" t="s">
        <v>653</v>
      </c>
    </row>
    <row r="676" spans="2:3" ht="15">
      <c r="B676" s="1">
        <v>16220</v>
      </c>
      <c r="C676" s="1" t="s">
        <v>650</v>
      </c>
    </row>
    <row r="677" spans="2:3" ht="15">
      <c r="B677" s="1">
        <v>16221</v>
      </c>
      <c r="C677" s="1" t="s">
        <v>650</v>
      </c>
    </row>
    <row r="678" spans="2:3" ht="15">
      <c r="B678" s="1">
        <v>16222</v>
      </c>
      <c r="C678" s="1" t="s">
        <v>653</v>
      </c>
    </row>
    <row r="679" spans="2:3" ht="15">
      <c r="B679" s="1">
        <v>16223</v>
      </c>
      <c r="C679" s="1" t="s">
        <v>653</v>
      </c>
    </row>
    <row r="680" spans="2:3" ht="15">
      <c r="B680" s="1">
        <v>16224</v>
      </c>
      <c r="C680" s="1" t="s">
        <v>650</v>
      </c>
    </row>
    <row r="681" spans="2:3" ht="15">
      <c r="B681" s="1">
        <v>16225</v>
      </c>
      <c r="C681" s="1" t="s">
        <v>650</v>
      </c>
    </row>
    <row r="682" spans="2:3" ht="15">
      <c r="B682" s="1">
        <v>16226</v>
      </c>
      <c r="C682" s="1" t="s">
        <v>653</v>
      </c>
    </row>
    <row r="683" spans="2:3" ht="15">
      <c r="B683" s="1">
        <v>16228</v>
      </c>
      <c r="C683" s="1" t="s">
        <v>653</v>
      </c>
    </row>
    <row r="684" spans="2:3" ht="15">
      <c r="B684" s="1">
        <v>16229</v>
      </c>
      <c r="C684" s="1" t="s">
        <v>653</v>
      </c>
    </row>
    <row r="685" spans="2:3" ht="15">
      <c r="B685" s="1">
        <v>16230</v>
      </c>
      <c r="C685" s="1" t="s">
        <v>650</v>
      </c>
    </row>
    <row r="686" spans="2:3" ht="15">
      <c r="B686" s="1">
        <v>16232</v>
      </c>
      <c r="C686" s="1" t="s">
        <v>650</v>
      </c>
    </row>
    <row r="687" spans="2:3" ht="15">
      <c r="B687" s="1">
        <v>16233</v>
      </c>
      <c r="C687" s="1" t="s">
        <v>650</v>
      </c>
    </row>
    <row r="688" spans="2:3" ht="15">
      <c r="B688" s="1">
        <v>16234</v>
      </c>
      <c r="C688" s="1" t="s">
        <v>650</v>
      </c>
    </row>
    <row r="689" spans="2:3" ht="15">
      <c r="B689" s="1">
        <v>16235</v>
      </c>
      <c r="C689" s="1" t="s">
        <v>650</v>
      </c>
    </row>
    <row r="690" spans="2:3" ht="15">
      <c r="B690" s="1">
        <v>16236</v>
      </c>
      <c r="C690" s="1" t="s">
        <v>653</v>
      </c>
    </row>
    <row r="691" spans="2:3" ht="15">
      <c r="B691" s="1">
        <v>16238</v>
      </c>
      <c r="C691" s="1" t="s">
        <v>653</v>
      </c>
    </row>
    <row r="692" spans="2:3" ht="15">
      <c r="B692" s="1">
        <v>16239</v>
      </c>
      <c r="C692" s="1" t="s">
        <v>650</v>
      </c>
    </row>
    <row r="693" spans="2:3" ht="15">
      <c r="B693" s="1">
        <v>16240</v>
      </c>
      <c r="C693" s="1" t="s">
        <v>650</v>
      </c>
    </row>
    <row r="694" spans="2:3" ht="15">
      <c r="B694" s="1">
        <v>16242</v>
      </c>
      <c r="C694" s="1" t="s">
        <v>650</v>
      </c>
    </row>
    <row r="695" spans="2:3" ht="15">
      <c r="B695" s="1">
        <v>16244</v>
      </c>
      <c r="C695" s="1" t="s">
        <v>653</v>
      </c>
    </row>
    <row r="696" spans="2:3" ht="15">
      <c r="B696" s="1">
        <v>16245</v>
      </c>
      <c r="C696" s="1" t="s">
        <v>653</v>
      </c>
    </row>
    <row r="697" spans="2:3" ht="15">
      <c r="B697" s="1">
        <v>16246</v>
      </c>
      <c r="C697" s="1" t="s">
        <v>653</v>
      </c>
    </row>
    <row r="698" spans="2:3" ht="15">
      <c r="B698" s="1">
        <v>16248</v>
      </c>
      <c r="C698" s="1" t="s">
        <v>650</v>
      </c>
    </row>
    <row r="699" spans="2:3" ht="15">
      <c r="B699" s="1">
        <v>16249</v>
      </c>
      <c r="C699" s="1" t="s">
        <v>653</v>
      </c>
    </row>
    <row r="700" spans="2:3" ht="15">
      <c r="B700" s="1">
        <v>16250</v>
      </c>
      <c r="C700" s="1" t="s">
        <v>653</v>
      </c>
    </row>
    <row r="701" spans="2:3" ht="15">
      <c r="B701" s="1">
        <v>16253</v>
      </c>
      <c r="C701" s="1" t="s">
        <v>653</v>
      </c>
    </row>
    <row r="702" spans="2:3" ht="15">
      <c r="B702" s="1">
        <v>16254</v>
      </c>
      <c r="C702" s="1" t="s">
        <v>650</v>
      </c>
    </row>
    <row r="703" spans="2:3" ht="15">
      <c r="B703" s="1">
        <v>16255</v>
      </c>
      <c r="C703" s="1" t="s">
        <v>650</v>
      </c>
    </row>
    <row r="704" spans="2:3" ht="15">
      <c r="B704" s="1">
        <v>16256</v>
      </c>
      <c r="C704" s="1" t="s">
        <v>653</v>
      </c>
    </row>
    <row r="705" spans="2:3" ht="15">
      <c r="B705" s="1">
        <v>16257</v>
      </c>
      <c r="C705" s="1" t="s">
        <v>650</v>
      </c>
    </row>
    <row r="706" spans="2:3" ht="15">
      <c r="B706" s="1">
        <v>16258</v>
      </c>
      <c r="C706" s="1" t="s">
        <v>650</v>
      </c>
    </row>
    <row r="707" spans="2:3" ht="15">
      <c r="B707" s="1">
        <v>16259</v>
      </c>
      <c r="C707" s="1" t="s">
        <v>653</v>
      </c>
    </row>
    <row r="708" spans="2:3" ht="15">
      <c r="B708" s="1">
        <v>16260</v>
      </c>
      <c r="C708" s="1" t="s">
        <v>650</v>
      </c>
    </row>
    <row r="709" spans="2:3" ht="15">
      <c r="B709" s="1">
        <v>16261</v>
      </c>
      <c r="C709" s="1" t="s">
        <v>653</v>
      </c>
    </row>
    <row r="710" spans="2:3" ht="15">
      <c r="B710" s="1">
        <v>16262</v>
      </c>
      <c r="C710" s="1" t="s">
        <v>653</v>
      </c>
    </row>
    <row r="711" spans="2:3" ht="15">
      <c r="B711" s="1">
        <v>16263</v>
      </c>
      <c r="C711" s="1" t="s">
        <v>653</v>
      </c>
    </row>
    <row r="712" spans="2:3" ht="15">
      <c r="B712" s="1">
        <v>16301</v>
      </c>
      <c r="C712" s="1" t="s">
        <v>650</v>
      </c>
    </row>
    <row r="713" spans="2:3" ht="15">
      <c r="B713" s="1">
        <v>16311</v>
      </c>
      <c r="C713" s="1" t="s">
        <v>650</v>
      </c>
    </row>
    <row r="714" spans="2:3" ht="15">
      <c r="B714" s="1">
        <v>16312</v>
      </c>
      <c r="C714" s="1" t="s">
        <v>650</v>
      </c>
    </row>
    <row r="715" spans="2:3" ht="15">
      <c r="B715" s="1">
        <v>16313</v>
      </c>
      <c r="C715" s="1" t="s">
        <v>650</v>
      </c>
    </row>
    <row r="716" spans="2:3" ht="15">
      <c r="B716" s="1">
        <v>16314</v>
      </c>
      <c r="C716" s="1" t="s">
        <v>650</v>
      </c>
    </row>
    <row r="717" spans="2:3" ht="15">
      <c r="B717" s="1">
        <v>16316</v>
      </c>
      <c r="C717" s="1" t="s">
        <v>650</v>
      </c>
    </row>
    <row r="718" spans="2:3" ht="15">
      <c r="B718" s="1">
        <v>16317</v>
      </c>
      <c r="C718" s="1" t="s">
        <v>650</v>
      </c>
    </row>
    <row r="719" spans="2:3" ht="15">
      <c r="B719" s="1">
        <v>16319</v>
      </c>
      <c r="C719" s="1" t="s">
        <v>650</v>
      </c>
    </row>
    <row r="720" spans="2:3" ht="15">
      <c r="B720" s="1">
        <v>16321</v>
      </c>
      <c r="C720" s="1" t="s">
        <v>650</v>
      </c>
    </row>
    <row r="721" spans="2:3" ht="15">
      <c r="B721" s="1">
        <v>16322</v>
      </c>
      <c r="C721" s="1" t="s">
        <v>650</v>
      </c>
    </row>
    <row r="722" spans="2:3" ht="15">
      <c r="B722" s="1">
        <v>16323</v>
      </c>
      <c r="C722" s="1" t="s">
        <v>650</v>
      </c>
    </row>
    <row r="723" spans="2:3" ht="15">
      <c r="B723" s="1">
        <v>16326</v>
      </c>
      <c r="C723" s="1" t="s">
        <v>650</v>
      </c>
    </row>
    <row r="724" spans="2:3" ht="15">
      <c r="B724" s="1">
        <v>16327</v>
      </c>
      <c r="C724" s="1" t="s">
        <v>650</v>
      </c>
    </row>
    <row r="725" spans="2:3" ht="15">
      <c r="B725" s="1">
        <v>16328</v>
      </c>
      <c r="C725" s="1" t="s">
        <v>650</v>
      </c>
    </row>
    <row r="726" spans="2:3" ht="15">
      <c r="B726" s="1">
        <v>16329</v>
      </c>
      <c r="C726" s="1" t="s">
        <v>650</v>
      </c>
    </row>
    <row r="727" spans="2:3" ht="15">
      <c r="B727" s="1">
        <v>16331</v>
      </c>
      <c r="C727" s="1" t="s">
        <v>650</v>
      </c>
    </row>
    <row r="728" spans="2:3" ht="15">
      <c r="B728" s="1">
        <v>16332</v>
      </c>
      <c r="C728" s="1" t="s">
        <v>650</v>
      </c>
    </row>
    <row r="729" spans="2:3" ht="15">
      <c r="B729" s="1">
        <v>16333</v>
      </c>
      <c r="C729" s="1" t="s">
        <v>649</v>
      </c>
    </row>
    <row r="730" spans="2:3" ht="15">
      <c r="B730" s="1">
        <v>16334</v>
      </c>
      <c r="C730" s="1" t="s">
        <v>650</v>
      </c>
    </row>
    <row r="731" spans="2:3" ht="15">
      <c r="B731" s="1">
        <v>16335</v>
      </c>
      <c r="C731" s="1" t="s">
        <v>650</v>
      </c>
    </row>
    <row r="732" spans="2:3" ht="15">
      <c r="B732" s="1">
        <v>16340</v>
      </c>
      <c r="C732" s="1" t="s">
        <v>650</v>
      </c>
    </row>
    <row r="733" spans="2:3" ht="15">
      <c r="B733" s="1">
        <v>16341</v>
      </c>
      <c r="C733" s="1" t="s">
        <v>650</v>
      </c>
    </row>
    <row r="734" spans="2:3" ht="15">
      <c r="B734" s="1">
        <v>16342</v>
      </c>
      <c r="C734" s="1" t="s">
        <v>650</v>
      </c>
    </row>
    <row r="735" spans="2:3" ht="15">
      <c r="B735" s="1">
        <v>16343</v>
      </c>
      <c r="C735" s="1" t="s">
        <v>650</v>
      </c>
    </row>
    <row r="736" spans="2:3" ht="15">
      <c r="B736" s="1">
        <v>16344</v>
      </c>
      <c r="C736" s="1" t="s">
        <v>650</v>
      </c>
    </row>
    <row r="737" spans="2:3" ht="15">
      <c r="B737" s="1">
        <v>16345</v>
      </c>
      <c r="C737" s="1" t="s">
        <v>650</v>
      </c>
    </row>
    <row r="738" spans="2:3" ht="15">
      <c r="B738" s="1">
        <v>16346</v>
      </c>
      <c r="C738" s="1" t="s">
        <v>650</v>
      </c>
    </row>
    <row r="739" spans="2:3" ht="15">
      <c r="B739" s="1">
        <v>16347</v>
      </c>
      <c r="C739" s="1" t="s">
        <v>650</v>
      </c>
    </row>
    <row r="740" spans="2:3" ht="15">
      <c r="B740" s="1">
        <v>16350</v>
      </c>
      <c r="C740" s="1" t="s">
        <v>650</v>
      </c>
    </row>
    <row r="741" spans="2:3" ht="15">
      <c r="B741" s="1">
        <v>16351</v>
      </c>
      <c r="C741" s="1" t="s">
        <v>650</v>
      </c>
    </row>
    <row r="742" spans="2:3" ht="15">
      <c r="B742" s="1">
        <v>16352</v>
      </c>
      <c r="C742" s="1" t="s">
        <v>650</v>
      </c>
    </row>
    <row r="743" spans="2:3" ht="15">
      <c r="B743" s="1">
        <v>16353</v>
      </c>
      <c r="C743" s="1" t="s">
        <v>650</v>
      </c>
    </row>
    <row r="744" spans="2:3" ht="15">
      <c r="B744" s="1">
        <v>16354</v>
      </c>
      <c r="C744" s="1" t="s">
        <v>650</v>
      </c>
    </row>
    <row r="745" spans="2:3" ht="15">
      <c r="B745" s="1">
        <v>16360</v>
      </c>
      <c r="C745" s="1" t="s">
        <v>650</v>
      </c>
    </row>
    <row r="746" spans="2:3" ht="15">
      <c r="B746" s="1">
        <v>16361</v>
      </c>
      <c r="C746" s="1" t="s">
        <v>650</v>
      </c>
    </row>
    <row r="747" spans="2:3" ht="15">
      <c r="B747" s="1">
        <v>16362</v>
      </c>
      <c r="C747" s="1" t="s">
        <v>650</v>
      </c>
    </row>
    <row r="748" spans="2:3" ht="15">
      <c r="B748" s="1">
        <v>16364</v>
      </c>
      <c r="C748" s="1" t="s">
        <v>650</v>
      </c>
    </row>
    <row r="749" spans="2:3" ht="15">
      <c r="B749" s="1">
        <v>16365</v>
      </c>
      <c r="C749" s="1" t="s">
        <v>650</v>
      </c>
    </row>
    <row r="750" spans="2:3" ht="15">
      <c r="B750" s="1">
        <v>16366</v>
      </c>
      <c r="C750" s="1" t="s">
        <v>650</v>
      </c>
    </row>
    <row r="751" spans="2:3" ht="15">
      <c r="B751" s="1">
        <v>16367</v>
      </c>
      <c r="C751" s="1" t="s">
        <v>650</v>
      </c>
    </row>
    <row r="752" spans="2:3" ht="15">
      <c r="B752" s="1">
        <v>16368</v>
      </c>
      <c r="C752" s="1" t="s">
        <v>650</v>
      </c>
    </row>
    <row r="753" spans="2:3" ht="15">
      <c r="B753" s="1">
        <v>16369</v>
      </c>
      <c r="C753" s="1" t="s">
        <v>650</v>
      </c>
    </row>
    <row r="754" spans="2:3" ht="15">
      <c r="B754" s="1">
        <v>16370</v>
      </c>
      <c r="C754" s="1" t="s">
        <v>650</v>
      </c>
    </row>
    <row r="755" spans="2:3" ht="15">
      <c r="B755" s="1">
        <v>16371</v>
      </c>
      <c r="C755" s="1" t="s">
        <v>650</v>
      </c>
    </row>
    <row r="756" spans="2:3" ht="15">
      <c r="B756" s="1">
        <v>16372</v>
      </c>
      <c r="C756" s="1" t="s">
        <v>650</v>
      </c>
    </row>
    <row r="757" spans="2:3" ht="15">
      <c r="B757" s="1">
        <v>16373</v>
      </c>
      <c r="C757" s="1" t="s">
        <v>650</v>
      </c>
    </row>
    <row r="758" spans="2:3" ht="15">
      <c r="B758" s="1">
        <v>16374</v>
      </c>
      <c r="C758" s="1" t="s">
        <v>650</v>
      </c>
    </row>
    <row r="759" spans="2:3" ht="15">
      <c r="B759" s="1">
        <v>16375</v>
      </c>
      <c r="C759" s="1" t="s">
        <v>650</v>
      </c>
    </row>
    <row r="760" spans="2:3" ht="15">
      <c r="B760" s="1">
        <v>16388</v>
      </c>
      <c r="C760" s="1" t="s">
        <v>650</v>
      </c>
    </row>
    <row r="761" spans="2:3" ht="15">
      <c r="B761" s="1">
        <v>16401</v>
      </c>
      <c r="C761" s="1" t="s">
        <v>650</v>
      </c>
    </row>
    <row r="762" spans="2:3" ht="15">
      <c r="B762" s="1">
        <v>16402</v>
      </c>
      <c r="C762" s="1" t="s">
        <v>650</v>
      </c>
    </row>
    <row r="763" spans="2:3" ht="15">
      <c r="B763" s="1">
        <v>16403</v>
      </c>
      <c r="C763" s="1" t="s">
        <v>650</v>
      </c>
    </row>
    <row r="764" spans="2:3" ht="15">
      <c r="B764" s="1">
        <v>16404</v>
      </c>
      <c r="C764" s="1" t="s">
        <v>650</v>
      </c>
    </row>
    <row r="765" spans="2:3" ht="15">
      <c r="B765" s="1">
        <v>16405</v>
      </c>
      <c r="C765" s="1" t="s">
        <v>650</v>
      </c>
    </row>
    <row r="766" spans="2:3" ht="15">
      <c r="B766" s="1">
        <v>16406</v>
      </c>
      <c r="C766" s="1" t="s">
        <v>650</v>
      </c>
    </row>
    <row r="767" spans="2:3" ht="15">
      <c r="B767" s="1">
        <v>16407</v>
      </c>
      <c r="C767" s="1" t="s">
        <v>650</v>
      </c>
    </row>
    <row r="768" spans="2:3" ht="15">
      <c r="B768" s="1">
        <v>16410</v>
      </c>
      <c r="C768" s="1" t="s">
        <v>650</v>
      </c>
    </row>
    <row r="769" spans="2:3" ht="15">
      <c r="B769" s="1">
        <v>16411</v>
      </c>
      <c r="C769" s="1" t="s">
        <v>650</v>
      </c>
    </row>
    <row r="770" spans="2:3" ht="15">
      <c r="B770" s="1">
        <v>16412</v>
      </c>
      <c r="C770" s="1" t="s">
        <v>650</v>
      </c>
    </row>
    <row r="771" spans="2:3" ht="15">
      <c r="B771" s="1">
        <v>16413</v>
      </c>
      <c r="C771" s="1" t="s">
        <v>650</v>
      </c>
    </row>
    <row r="772" spans="2:3" ht="15">
      <c r="B772" s="1">
        <v>16415</v>
      </c>
      <c r="C772" s="1" t="s">
        <v>650</v>
      </c>
    </row>
    <row r="773" spans="2:3" ht="15">
      <c r="B773" s="1">
        <v>16416</v>
      </c>
      <c r="C773" s="1" t="s">
        <v>650</v>
      </c>
    </row>
    <row r="774" spans="2:3" ht="15">
      <c r="B774" s="1">
        <v>16417</v>
      </c>
      <c r="C774" s="1" t="s">
        <v>650</v>
      </c>
    </row>
    <row r="775" spans="2:3" ht="15">
      <c r="B775" s="1">
        <v>16420</v>
      </c>
      <c r="C775" s="1" t="s">
        <v>650</v>
      </c>
    </row>
    <row r="776" spans="2:3" ht="15">
      <c r="B776" s="1">
        <v>16421</v>
      </c>
      <c r="C776" s="1" t="s">
        <v>650</v>
      </c>
    </row>
    <row r="777" spans="2:3" ht="15">
      <c r="B777" s="1">
        <v>16422</v>
      </c>
      <c r="C777" s="1" t="s">
        <v>650</v>
      </c>
    </row>
    <row r="778" spans="2:3" ht="15">
      <c r="B778" s="1">
        <v>16423</v>
      </c>
      <c r="C778" s="1" t="s">
        <v>650</v>
      </c>
    </row>
    <row r="779" spans="2:3" ht="15">
      <c r="B779" s="1">
        <v>16424</v>
      </c>
      <c r="C779" s="1" t="s">
        <v>650</v>
      </c>
    </row>
    <row r="780" spans="2:3" ht="15">
      <c r="B780" s="1">
        <v>16426</v>
      </c>
      <c r="C780" s="1" t="s">
        <v>650</v>
      </c>
    </row>
    <row r="781" spans="2:3" ht="15">
      <c r="B781" s="1">
        <v>16427</v>
      </c>
      <c r="C781" s="1" t="s">
        <v>650</v>
      </c>
    </row>
    <row r="782" spans="2:3" ht="15">
      <c r="B782" s="1">
        <v>16428</v>
      </c>
      <c r="C782" s="1" t="s">
        <v>650</v>
      </c>
    </row>
    <row r="783" spans="2:3" ht="15">
      <c r="B783" s="1">
        <v>16430</v>
      </c>
      <c r="C783" s="1" t="s">
        <v>650</v>
      </c>
    </row>
    <row r="784" spans="2:3" ht="15">
      <c r="B784" s="1">
        <v>16432</v>
      </c>
      <c r="C784" s="1" t="s">
        <v>650</v>
      </c>
    </row>
    <row r="785" spans="2:3" ht="15">
      <c r="B785" s="1">
        <v>16433</v>
      </c>
      <c r="C785" s="1" t="s">
        <v>650</v>
      </c>
    </row>
    <row r="786" spans="2:3" ht="15">
      <c r="B786" s="1">
        <v>16434</v>
      </c>
      <c r="C786" s="1" t="s">
        <v>650</v>
      </c>
    </row>
    <row r="787" spans="2:3" ht="15">
      <c r="B787" s="1">
        <v>16435</v>
      </c>
      <c r="C787" s="1" t="s">
        <v>650</v>
      </c>
    </row>
    <row r="788" spans="2:3" ht="15">
      <c r="B788" s="1">
        <v>16436</v>
      </c>
      <c r="C788" s="1" t="s">
        <v>650</v>
      </c>
    </row>
    <row r="789" spans="2:3" ht="15">
      <c r="B789" s="1">
        <v>16438</v>
      </c>
      <c r="C789" s="1" t="s">
        <v>650</v>
      </c>
    </row>
    <row r="790" spans="2:3" ht="15">
      <c r="B790" s="1">
        <v>16440</v>
      </c>
      <c r="C790" s="1" t="s">
        <v>650</v>
      </c>
    </row>
    <row r="791" spans="2:3" ht="15">
      <c r="B791" s="1">
        <v>16441</v>
      </c>
      <c r="C791" s="1" t="s">
        <v>650</v>
      </c>
    </row>
    <row r="792" spans="2:3" ht="15">
      <c r="B792" s="1">
        <v>16442</v>
      </c>
      <c r="C792" s="1" t="s">
        <v>650</v>
      </c>
    </row>
    <row r="793" spans="2:3" ht="15">
      <c r="B793" s="1">
        <v>16443</v>
      </c>
      <c r="C793" s="1" t="s">
        <v>650</v>
      </c>
    </row>
    <row r="794" spans="2:3" ht="15">
      <c r="B794" s="1">
        <v>16444</v>
      </c>
      <c r="C794" s="1" t="s">
        <v>650</v>
      </c>
    </row>
    <row r="795" spans="2:3" ht="15">
      <c r="B795" s="1">
        <v>16475</v>
      </c>
      <c r="C795" s="1" t="s">
        <v>650</v>
      </c>
    </row>
    <row r="796" spans="2:3" ht="15">
      <c r="B796" s="1">
        <v>16501</v>
      </c>
      <c r="C796" s="1" t="s">
        <v>650</v>
      </c>
    </row>
    <row r="797" spans="2:3" ht="15">
      <c r="B797" s="1">
        <v>16502</v>
      </c>
      <c r="C797" s="1" t="s">
        <v>650</v>
      </c>
    </row>
    <row r="798" spans="2:3" ht="15">
      <c r="B798" s="1">
        <v>16503</v>
      </c>
      <c r="C798" s="1" t="s">
        <v>650</v>
      </c>
    </row>
    <row r="799" spans="2:3" ht="15">
      <c r="B799" s="1">
        <v>16504</v>
      </c>
      <c r="C799" s="1" t="s">
        <v>650</v>
      </c>
    </row>
    <row r="800" spans="2:3" ht="15">
      <c r="B800" s="1">
        <v>16505</v>
      </c>
      <c r="C800" s="1" t="s">
        <v>650</v>
      </c>
    </row>
    <row r="801" spans="2:3" ht="15">
      <c r="B801" s="1">
        <v>16506</v>
      </c>
      <c r="C801" s="1" t="s">
        <v>650</v>
      </c>
    </row>
    <row r="802" spans="2:3" ht="15">
      <c r="B802" s="1">
        <v>16507</v>
      </c>
      <c r="C802" s="1" t="s">
        <v>650</v>
      </c>
    </row>
    <row r="803" spans="2:3" ht="15">
      <c r="B803" s="1">
        <v>16508</v>
      </c>
      <c r="C803" s="1" t="s">
        <v>650</v>
      </c>
    </row>
    <row r="804" spans="2:3" ht="15">
      <c r="B804" s="1">
        <v>16509</v>
      </c>
      <c r="C804" s="1" t="s">
        <v>650</v>
      </c>
    </row>
    <row r="805" spans="2:3" ht="15">
      <c r="B805" s="1">
        <v>16510</v>
      </c>
      <c r="C805" s="1" t="s">
        <v>650</v>
      </c>
    </row>
    <row r="806" spans="2:3" ht="15">
      <c r="B806" s="1">
        <v>16511</v>
      </c>
      <c r="C806" s="1" t="s">
        <v>650</v>
      </c>
    </row>
    <row r="807" spans="2:3" ht="15">
      <c r="B807" s="1">
        <v>16512</v>
      </c>
      <c r="C807" s="1" t="s">
        <v>650</v>
      </c>
    </row>
    <row r="808" spans="2:3" ht="15">
      <c r="B808" s="1">
        <v>16514</v>
      </c>
      <c r="C808" s="1" t="s">
        <v>650</v>
      </c>
    </row>
    <row r="809" spans="2:3" ht="15">
      <c r="B809" s="1">
        <v>16515</v>
      </c>
      <c r="C809" s="1" t="s">
        <v>650</v>
      </c>
    </row>
    <row r="810" spans="2:3" ht="15">
      <c r="B810" s="1">
        <v>16522</v>
      </c>
      <c r="C810" s="1" t="s">
        <v>650</v>
      </c>
    </row>
    <row r="811" spans="2:3" ht="15">
      <c r="B811" s="1">
        <v>16530</v>
      </c>
      <c r="C811" s="1" t="s">
        <v>650</v>
      </c>
    </row>
    <row r="812" spans="2:3" ht="15">
      <c r="B812" s="1">
        <v>16531</v>
      </c>
      <c r="C812" s="1" t="s">
        <v>650</v>
      </c>
    </row>
    <row r="813" spans="2:3" ht="15">
      <c r="B813" s="1">
        <v>16532</v>
      </c>
      <c r="C813" s="1" t="s">
        <v>650</v>
      </c>
    </row>
    <row r="814" spans="2:3" ht="15">
      <c r="B814" s="1">
        <v>16533</v>
      </c>
      <c r="C814" s="1" t="s">
        <v>650</v>
      </c>
    </row>
    <row r="815" spans="2:3" ht="15">
      <c r="B815" s="1">
        <v>16534</v>
      </c>
      <c r="C815" s="1" t="s">
        <v>650</v>
      </c>
    </row>
    <row r="816" spans="2:3" ht="15">
      <c r="B816" s="1">
        <v>16538</v>
      </c>
      <c r="C816" s="1" t="s">
        <v>650</v>
      </c>
    </row>
    <row r="817" spans="2:3" ht="15">
      <c r="B817" s="1">
        <v>16541</v>
      </c>
      <c r="C817" s="1" t="s">
        <v>650</v>
      </c>
    </row>
    <row r="818" spans="2:3" ht="15">
      <c r="B818" s="1">
        <v>16544</v>
      </c>
      <c r="C818" s="1" t="s">
        <v>650</v>
      </c>
    </row>
    <row r="819" spans="2:3" ht="15">
      <c r="B819" s="1">
        <v>16546</v>
      </c>
      <c r="C819" s="1" t="s">
        <v>650</v>
      </c>
    </row>
    <row r="820" spans="2:3" ht="15">
      <c r="B820" s="1">
        <v>16550</v>
      </c>
      <c r="C820" s="1" t="s">
        <v>650</v>
      </c>
    </row>
    <row r="821" spans="2:3" ht="15">
      <c r="B821" s="1">
        <v>16553</v>
      </c>
      <c r="C821" s="1" t="s">
        <v>650</v>
      </c>
    </row>
    <row r="822" spans="2:3" ht="15">
      <c r="B822" s="1">
        <v>16554</v>
      </c>
      <c r="C822" s="1" t="s">
        <v>650</v>
      </c>
    </row>
    <row r="823" spans="2:3" ht="15">
      <c r="B823" s="1">
        <v>16563</v>
      </c>
      <c r="C823" s="1" t="s">
        <v>650</v>
      </c>
    </row>
    <row r="824" spans="2:3" ht="15">
      <c r="B824" s="1">
        <v>16565</v>
      </c>
      <c r="C824" s="1" t="s">
        <v>650</v>
      </c>
    </row>
    <row r="825" spans="2:3" ht="15">
      <c r="B825" s="1">
        <v>16601</v>
      </c>
      <c r="C825" s="1" t="s">
        <v>653</v>
      </c>
    </row>
    <row r="826" spans="2:3" ht="15">
      <c r="B826" s="1">
        <v>16602</v>
      </c>
      <c r="C826" s="1" t="s">
        <v>653</v>
      </c>
    </row>
    <row r="827" spans="2:3" ht="15">
      <c r="B827" s="1">
        <v>16603</v>
      </c>
      <c r="C827" s="1" t="s">
        <v>653</v>
      </c>
    </row>
    <row r="828" spans="2:3" ht="15">
      <c r="B828" s="1">
        <v>16611</v>
      </c>
      <c r="C828" s="1" t="s">
        <v>655</v>
      </c>
    </row>
    <row r="829" spans="2:3" ht="15">
      <c r="B829" s="1">
        <v>16613</v>
      </c>
      <c r="C829" s="1" t="s">
        <v>653</v>
      </c>
    </row>
    <row r="830" spans="2:3" ht="15">
      <c r="B830" s="1">
        <v>16616</v>
      </c>
      <c r="C830" s="1" t="s">
        <v>649</v>
      </c>
    </row>
    <row r="831" spans="2:3" ht="15">
      <c r="B831" s="1">
        <v>16617</v>
      </c>
      <c r="C831" s="1" t="s">
        <v>653</v>
      </c>
    </row>
    <row r="832" spans="2:3" ht="15">
      <c r="B832" s="1">
        <v>16619</v>
      </c>
      <c r="C832" s="1" t="s">
        <v>653</v>
      </c>
    </row>
    <row r="833" spans="2:3" ht="15">
      <c r="B833" s="1">
        <v>16620</v>
      </c>
      <c r="C833" s="1" t="s">
        <v>649</v>
      </c>
    </row>
    <row r="834" spans="2:3" ht="15">
      <c r="B834" s="1">
        <v>16621</v>
      </c>
      <c r="C834" s="1" t="s">
        <v>655</v>
      </c>
    </row>
    <row r="835" spans="2:3" ht="15">
      <c r="B835" s="1">
        <v>16622</v>
      </c>
      <c r="C835" s="1" t="s">
        <v>655</v>
      </c>
    </row>
    <row r="836" spans="2:3" ht="15">
      <c r="B836" s="1">
        <v>16623</v>
      </c>
      <c r="C836" s="1" t="s">
        <v>655</v>
      </c>
    </row>
    <row r="837" spans="2:3" ht="15">
      <c r="B837" s="1">
        <v>16624</v>
      </c>
      <c r="C837" s="1" t="s">
        <v>653</v>
      </c>
    </row>
    <row r="838" spans="2:3" ht="15">
      <c r="B838" s="1">
        <v>16625</v>
      </c>
      <c r="C838" s="1" t="s">
        <v>653</v>
      </c>
    </row>
    <row r="839" spans="2:3" ht="15">
      <c r="B839" s="1">
        <v>16627</v>
      </c>
      <c r="C839" s="1" t="s">
        <v>649</v>
      </c>
    </row>
    <row r="840" spans="2:3" ht="15">
      <c r="B840" s="1">
        <v>16629</v>
      </c>
      <c r="C840" s="1" t="s">
        <v>653</v>
      </c>
    </row>
    <row r="841" spans="2:3" ht="15">
      <c r="B841" s="1">
        <v>16630</v>
      </c>
      <c r="C841" s="1" t="s">
        <v>653</v>
      </c>
    </row>
    <row r="842" spans="2:3" ht="15">
      <c r="B842" s="1">
        <v>16631</v>
      </c>
      <c r="C842" s="1" t="s">
        <v>653</v>
      </c>
    </row>
    <row r="843" spans="2:3" ht="15">
      <c r="B843" s="1">
        <v>16633</v>
      </c>
      <c r="C843" s="1" t="s">
        <v>653</v>
      </c>
    </row>
    <row r="844" spans="2:3" ht="15">
      <c r="B844" s="1">
        <v>16634</v>
      </c>
      <c r="C844" s="1" t="s">
        <v>655</v>
      </c>
    </row>
    <row r="845" spans="2:3" ht="15">
      <c r="B845" s="1">
        <v>16635</v>
      </c>
      <c r="C845" s="1" t="s">
        <v>653</v>
      </c>
    </row>
    <row r="846" spans="2:3" ht="15">
      <c r="B846" s="1">
        <v>16636</v>
      </c>
      <c r="C846" s="1" t="s">
        <v>653</v>
      </c>
    </row>
    <row r="847" spans="2:3" ht="15">
      <c r="B847" s="1">
        <v>16637</v>
      </c>
      <c r="C847" s="1" t="s">
        <v>653</v>
      </c>
    </row>
    <row r="848" spans="2:3" ht="15">
      <c r="B848" s="1">
        <v>16638</v>
      </c>
      <c r="C848" s="1" t="s">
        <v>655</v>
      </c>
    </row>
    <row r="849" spans="2:3" ht="15">
      <c r="B849" s="1">
        <v>16639</v>
      </c>
      <c r="C849" s="1" t="s">
        <v>653</v>
      </c>
    </row>
    <row r="850" spans="2:3" ht="15">
      <c r="B850" s="1">
        <v>16640</v>
      </c>
      <c r="C850" s="1" t="s">
        <v>653</v>
      </c>
    </row>
    <row r="851" spans="2:3" ht="15">
      <c r="B851" s="1">
        <v>16641</v>
      </c>
      <c r="C851" s="1" t="s">
        <v>653</v>
      </c>
    </row>
    <row r="852" spans="2:3" ht="15">
      <c r="B852" s="1">
        <v>16644</v>
      </c>
      <c r="C852" s="1" t="s">
        <v>653</v>
      </c>
    </row>
    <row r="853" spans="2:3" ht="15">
      <c r="B853" s="1">
        <v>16645</v>
      </c>
      <c r="C853" s="1" t="s">
        <v>649</v>
      </c>
    </row>
    <row r="854" spans="2:3" ht="15">
      <c r="B854" s="1">
        <v>16646</v>
      </c>
      <c r="C854" s="1" t="s">
        <v>653</v>
      </c>
    </row>
    <row r="855" spans="2:3" ht="15">
      <c r="B855" s="1">
        <v>16647</v>
      </c>
      <c r="C855" s="1" t="s">
        <v>655</v>
      </c>
    </row>
    <row r="856" spans="2:3" ht="15">
      <c r="B856" s="1">
        <v>16648</v>
      </c>
      <c r="C856" s="1" t="s">
        <v>653</v>
      </c>
    </row>
    <row r="857" spans="2:3" ht="15">
      <c r="B857" s="1">
        <v>16650</v>
      </c>
      <c r="C857" s="1" t="s">
        <v>653</v>
      </c>
    </row>
    <row r="858" spans="2:3" ht="15">
      <c r="B858" s="1">
        <v>16651</v>
      </c>
      <c r="C858" s="1" t="s">
        <v>649</v>
      </c>
    </row>
    <row r="859" spans="2:3" ht="15">
      <c r="B859" s="1">
        <v>16652</v>
      </c>
      <c r="C859" s="1" t="s">
        <v>655</v>
      </c>
    </row>
    <row r="860" spans="2:3" ht="15">
      <c r="B860" s="1">
        <v>16654</v>
      </c>
      <c r="C860" s="1" t="s">
        <v>655</v>
      </c>
    </row>
    <row r="861" spans="2:3" ht="15">
      <c r="B861" s="1">
        <v>16655</v>
      </c>
      <c r="C861" s="1" t="s">
        <v>653</v>
      </c>
    </row>
    <row r="862" spans="2:3" ht="15">
      <c r="B862" s="1">
        <v>16656</v>
      </c>
      <c r="C862" s="1" t="s">
        <v>649</v>
      </c>
    </row>
    <row r="863" spans="2:3" ht="15">
      <c r="B863" s="1">
        <v>16657</v>
      </c>
      <c r="C863" s="1" t="s">
        <v>655</v>
      </c>
    </row>
    <row r="864" spans="2:3" ht="15">
      <c r="B864" s="1">
        <v>16659</v>
      </c>
      <c r="C864" s="1" t="s">
        <v>653</v>
      </c>
    </row>
    <row r="865" spans="2:3" ht="15">
      <c r="B865" s="1">
        <v>16660</v>
      </c>
      <c r="C865" s="1" t="s">
        <v>653</v>
      </c>
    </row>
    <row r="866" spans="2:3" ht="15">
      <c r="B866" s="1">
        <v>16661</v>
      </c>
      <c r="C866" s="1" t="s">
        <v>649</v>
      </c>
    </row>
    <row r="867" spans="2:3" ht="15">
      <c r="B867" s="1">
        <v>16662</v>
      </c>
      <c r="C867" s="1" t="s">
        <v>653</v>
      </c>
    </row>
    <row r="868" spans="2:3" ht="15">
      <c r="B868" s="1">
        <v>16663</v>
      </c>
      <c r="C868" s="1" t="s">
        <v>649</v>
      </c>
    </row>
    <row r="869" spans="2:3" ht="15">
      <c r="B869" s="1">
        <v>16664</v>
      </c>
      <c r="C869" s="1" t="s">
        <v>653</v>
      </c>
    </row>
    <row r="870" spans="2:3" ht="15">
      <c r="B870" s="1">
        <v>16665</v>
      </c>
      <c r="C870" s="1" t="s">
        <v>653</v>
      </c>
    </row>
    <row r="871" spans="2:3" ht="15">
      <c r="B871" s="1">
        <v>16666</v>
      </c>
      <c r="C871" s="1" t="s">
        <v>649</v>
      </c>
    </row>
    <row r="872" spans="2:3" ht="15">
      <c r="B872" s="1">
        <v>16667</v>
      </c>
      <c r="C872" s="1" t="s">
        <v>653</v>
      </c>
    </row>
    <row r="873" spans="2:3" ht="15">
      <c r="B873" s="1">
        <v>16668</v>
      </c>
      <c r="C873" s="1" t="s">
        <v>653</v>
      </c>
    </row>
    <row r="874" spans="2:3" ht="15">
      <c r="B874" s="1">
        <v>16669</v>
      </c>
      <c r="C874" s="1" t="s">
        <v>655</v>
      </c>
    </row>
    <row r="875" spans="2:3" ht="15">
      <c r="B875" s="1">
        <v>16670</v>
      </c>
      <c r="C875" s="1" t="s">
        <v>653</v>
      </c>
    </row>
    <row r="876" spans="2:3" ht="15">
      <c r="B876" s="1">
        <v>16671</v>
      </c>
      <c r="C876" s="1" t="s">
        <v>649</v>
      </c>
    </row>
    <row r="877" spans="2:3" ht="15">
      <c r="B877" s="1">
        <v>16672</v>
      </c>
      <c r="C877" s="1" t="s">
        <v>653</v>
      </c>
    </row>
    <row r="878" spans="2:3" ht="15">
      <c r="B878" s="1">
        <v>16673</v>
      </c>
      <c r="C878" s="1" t="s">
        <v>653</v>
      </c>
    </row>
    <row r="879" spans="2:3" ht="15">
      <c r="B879" s="1">
        <v>16674</v>
      </c>
      <c r="C879" s="1" t="s">
        <v>655</v>
      </c>
    </row>
    <row r="880" spans="2:3" ht="15">
      <c r="B880" s="1">
        <v>16675</v>
      </c>
      <c r="C880" s="1" t="s">
        <v>653</v>
      </c>
    </row>
    <row r="881" spans="2:3" ht="15">
      <c r="B881" s="1">
        <v>16677</v>
      </c>
      <c r="C881" s="1" t="s">
        <v>655</v>
      </c>
    </row>
    <row r="882" spans="2:3" ht="15">
      <c r="B882" s="1">
        <v>16678</v>
      </c>
      <c r="C882" s="1" t="s">
        <v>653</v>
      </c>
    </row>
    <row r="883" spans="2:3" ht="15">
      <c r="B883" s="1">
        <v>16679</v>
      </c>
      <c r="C883" s="1" t="s">
        <v>653</v>
      </c>
    </row>
    <row r="884" spans="2:3" ht="15">
      <c r="B884" s="1">
        <v>16680</v>
      </c>
      <c r="C884" s="1" t="s">
        <v>649</v>
      </c>
    </row>
    <row r="885" spans="2:3" ht="15">
      <c r="B885" s="1">
        <v>16681</v>
      </c>
      <c r="C885" s="1" t="s">
        <v>649</v>
      </c>
    </row>
    <row r="886" spans="2:3" ht="15">
      <c r="B886" s="1">
        <v>16682</v>
      </c>
      <c r="C886" s="1" t="s">
        <v>653</v>
      </c>
    </row>
    <row r="887" spans="2:3" ht="15">
      <c r="B887" s="1">
        <v>16683</v>
      </c>
      <c r="C887" s="1" t="s">
        <v>655</v>
      </c>
    </row>
    <row r="888" spans="2:3" ht="15">
      <c r="B888" s="1">
        <v>16684</v>
      </c>
      <c r="C888" s="1" t="s">
        <v>649</v>
      </c>
    </row>
    <row r="889" spans="2:3" ht="15">
      <c r="B889" s="1">
        <v>16685</v>
      </c>
      <c r="C889" s="1" t="s">
        <v>655</v>
      </c>
    </row>
    <row r="890" spans="2:3" ht="15">
      <c r="B890" s="1">
        <v>16686</v>
      </c>
      <c r="C890" s="1" t="s">
        <v>653</v>
      </c>
    </row>
    <row r="891" spans="2:3" ht="15">
      <c r="B891" s="1">
        <v>16689</v>
      </c>
      <c r="C891" s="1" t="s">
        <v>651</v>
      </c>
    </row>
    <row r="892" spans="2:3" ht="15">
      <c r="B892" s="1">
        <v>16691</v>
      </c>
      <c r="C892" s="1" t="s">
        <v>651</v>
      </c>
    </row>
    <row r="893" spans="2:3" ht="15">
      <c r="B893" s="1">
        <v>16692</v>
      </c>
      <c r="C893" s="1" t="s">
        <v>649</v>
      </c>
    </row>
    <row r="894" spans="2:3" ht="15">
      <c r="B894" s="1">
        <v>16693</v>
      </c>
      <c r="C894" s="1" t="s">
        <v>653</v>
      </c>
    </row>
    <row r="895" spans="2:3" ht="15">
      <c r="B895" s="1">
        <v>16694</v>
      </c>
      <c r="C895" s="1" t="s">
        <v>655</v>
      </c>
    </row>
    <row r="896" spans="2:3" ht="15">
      <c r="B896" s="1">
        <v>16695</v>
      </c>
      <c r="C896" s="1" t="s">
        <v>653</v>
      </c>
    </row>
    <row r="897" spans="2:3" ht="15">
      <c r="B897" s="1">
        <v>16698</v>
      </c>
      <c r="C897" s="1" t="s">
        <v>649</v>
      </c>
    </row>
    <row r="898" spans="2:3" ht="15">
      <c r="B898" s="1">
        <v>16699</v>
      </c>
      <c r="C898" s="1" t="s">
        <v>653</v>
      </c>
    </row>
    <row r="899" spans="2:3" ht="15">
      <c r="B899" s="1">
        <v>16701</v>
      </c>
      <c r="C899" s="1" t="s">
        <v>649</v>
      </c>
    </row>
    <row r="900" spans="2:3" ht="15">
      <c r="B900" s="1">
        <v>16720</v>
      </c>
      <c r="C900" s="1" t="s">
        <v>649</v>
      </c>
    </row>
    <row r="901" spans="2:3" ht="15">
      <c r="B901" s="1">
        <v>16724</v>
      </c>
      <c r="C901" s="1" t="s">
        <v>649</v>
      </c>
    </row>
    <row r="902" spans="2:3" ht="15">
      <c r="B902" s="1">
        <v>16725</v>
      </c>
      <c r="C902" s="1" t="s">
        <v>649</v>
      </c>
    </row>
    <row r="903" spans="2:3" ht="15">
      <c r="B903" s="1">
        <v>16726</v>
      </c>
      <c r="C903" s="1" t="s">
        <v>649</v>
      </c>
    </row>
    <row r="904" spans="2:3" ht="15">
      <c r="B904" s="1">
        <v>16727</v>
      </c>
      <c r="C904" s="1" t="s">
        <v>649</v>
      </c>
    </row>
    <row r="905" spans="2:3" ht="15">
      <c r="B905" s="1">
        <v>16728</v>
      </c>
      <c r="C905" s="1" t="s">
        <v>649</v>
      </c>
    </row>
    <row r="906" spans="2:3" ht="15">
      <c r="B906" s="1">
        <v>16729</v>
      </c>
      <c r="C906" s="1" t="s">
        <v>649</v>
      </c>
    </row>
    <row r="907" spans="2:3" ht="15">
      <c r="B907" s="1">
        <v>16730</v>
      </c>
      <c r="C907" s="1" t="s">
        <v>649</v>
      </c>
    </row>
    <row r="908" spans="2:3" ht="15">
      <c r="B908" s="1">
        <v>16731</v>
      </c>
      <c r="C908" s="1" t="s">
        <v>649</v>
      </c>
    </row>
    <row r="909" spans="2:3" ht="15">
      <c r="B909" s="1">
        <v>16732</v>
      </c>
      <c r="C909" s="1" t="s">
        <v>649</v>
      </c>
    </row>
    <row r="910" spans="2:3" ht="15">
      <c r="B910" s="1">
        <v>16733</v>
      </c>
      <c r="C910" s="1" t="s">
        <v>649</v>
      </c>
    </row>
    <row r="911" spans="2:3" ht="15">
      <c r="B911" s="1">
        <v>16734</v>
      </c>
      <c r="C911" s="1" t="s">
        <v>649</v>
      </c>
    </row>
    <row r="912" spans="2:3" ht="15">
      <c r="B912" s="1">
        <v>16735</v>
      </c>
      <c r="C912" s="1" t="s">
        <v>649</v>
      </c>
    </row>
    <row r="913" spans="2:3" ht="15">
      <c r="B913" s="1">
        <v>16738</v>
      </c>
      <c r="C913" s="1" t="s">
        <v>649</v>
      </c>
    </row>
    <row r="914" spans="2:3" ht="15">
      <c r="B914" s="1">
        <v>16740</v>
      </c>
      <c r="C914" s="1" t="s">
        <v>649</v>
      </c>
    </row>
    <row r="915" spans="2:3" ht="15">
      <c r="B915" s="1">
        <v>16743</v>
      </c>
      <c r="C915" s="1" t="s">
        <v>649</v>
      </c>
    </row>
    <row r="916" spans="2:3" ht="15">
      <c r="B916" s="1">
        <v>16744</v>
      </c>
      <c r="C916" s="1" t="s">
        <v>649</v>
      </c>
    </row>
    <row r="917" spans="2:3" ht="15">
      <c r="B917" s="1">
        <v>16745</v>
      </c>
      <c r="C917" s="1" t="s">
        <v>649</v>
      </c>
    </row>
    <row r="918" spans="2:3" ht="15">
      <c r="B918" s="1">
        <v>16746</v>
      </c>
      <c r="C918" s="1" t="s">
        <v>649</v>
      </c>
    </row>
    <row r="919" spans="2:3" ht="15">
      <c r="B919" s="1">
        <v>16748</v>
      </c>
      <c r="C919" s="1" t="s">
        <v>649</v>
      </c>
    </row>
    <row r="920" spans="2:3" ht="15">
      <c r="B920" s="1">
        <v>16749</v>
      </c>
      <c r="C920" s="1" t="s">
        <v>649</v>
      </c>
    </row>
    <row r="921" spans="2:3" ht="15">
      <c r="B921" s="1">
        <v>16750</v>
      </c>
      <c r="C921" s="1" t="s">
        <v>649</v>
      </c>
    </row>
    <row r="922" spans="2:3" ht="15">
      <c r="B922" s="1">
        <v>16801</v>
      </c>
      <c r="C922" s="1" t="s">
        <v>655</v>
      </c>
    </row>
    <row r="923" spans="2:3" ht="15">
      <c r="B923" s="1">
        <v>16802</v>
      </c>
      <c r="C923" s="1" t="s">
        <v>655</v>
      </c>
    </row>
    <row r="924" spans="2:3" ht="15">
      <c r="B924" s="1">
        <v>16803</v>
      </c>
      <c r="C924" s="1" t="s">
        <v>655</v>
      </c>
    </row>
    <row r="925" spans="2:3" ht="15">
      <c r="B925" s="1">
        <v>16804</v>
      </c>
      <c r="C925" s="1" t="s">
        <v>655</v>
      </c>
    </row>
    <row r="926" spans="2:3" ht="15">
      <c r="B926" s="1">
        <v>16805</v>
      </c>
      <c r="C926" s="1" t="s">
        <v>655</v>
      </c>
    </row>
    <row r="927" spans="2:3" ht="15">
      <c r="B927" s="1">
        <v>16820</v>
      </c>
      <c r="C927" s="1" t="s">
        <v>655</v>
      </c>
    </row>
    <row r="928" spans="2:3" ht="15">
      <c r="B928" s="1">
        <v>16821</v>
      </c>
      <c r="C928" s="1" t="s">
        <v>649</v>
      </c>
    </row>
    <row r="929" spans="2:3" ht="15">
      <c r="B929" s="1">
        <v>16822</v>
      </c>
      <c r="C929" s="1" t="s">
        <v>655</v>
      </c>
    </row>
    <row r="930" spans="2:3" ht="15">
      <c r="B930" s="1">
        <v>16823</v>
      </c>
      <c r="C930" s="1" t="s">
        <v>655</v>
      </c>
    </row>
    <row r="931" spans="2:3" ht="15">
      <c r="B931" s="1">
        <v>16825</v>
      </c>
      <c r="C931" s="1" t="s">
        <v>649</v>
      </c>
    </row>
    <row r="932" spans="2:3" ht="15">
      <c r="B932" s="1">
        <v>16826</v>
      </c>
      <c r="C932" s="1" t="s">
        <v>655</v>
      </c>
    </row>
    <row r="933" spans="2:3" ht="15">
      <c r="B933" s="1">
        <v>16827</v>
      </c>
      <c r="C933" s="1" t="s">
        <v>655</v>
      </c>
    </row>
    <row r="934" spans="2:3" ht="15">
      <c r="B934" s="1">
        <v>16828</v>
      </c>
      <c r="C934" s="1" t="s">
        <v>655</v>
      </c>
    </row>
    <row r="935" spans="2:3" ht="15">
      <c r="B935" s="1">
        <v>16829</v>
      </c>
      <c r="C935" s="1" t="s">
        <v>655</v>
      </c>
    </row>
    <row r="936" spans="2:3" ht="15">
      <c r="B936" s="1">
        <v>16830</v>
      </c>
      <c r="C936" s="1" t="s">
        <v>649</v>
      </c>
    </row>
    <row r="937" spans="2:3" ht="15">
      <c r="B937" s="1">
        <v>16832</v>
      </c>
      <c r="C937" s="1" t="s">
        <v>655</v>
      </c>
    </row>
    <row r="938" spans="2:3" ht="15">
      <c r="B938" s="1">
        <v>16833</v>
      </c>
      <c r="C938" s="1" t="s">
        <v>649</v>
      </c>
    </row>
    <row r="939" spans="2:3" ht="15">
      <c r="B939" s="1">
        <v>16834</v>
      </c>
      <c r="C939" s="1" t="s">
        <v>649</v>
      </c>
    </row>
    <row r="940" spans="2:3" ht="15">
      <c r="B940" s="1">
        <v>16835</v>
      </c>
      <c r="C940" s="1" t="s">
        <v>655</v>
      </c>
    </row>
    <row r="941" spans="2:3" ht="15">
      <c r="B941" s="1">
        <v>16836</v>
      </c>
      <c r="C941" s="1" t="s">
        <v>649</v>
      </c>
    </row>
    <row r="942" spans="2:3" ht="15">
      <c r="B942" s="1">
        <v>16837</v>
      </c>
      <c r="C942" s="1" t="s">
        <v>649</v>
      </c>
    </row>
    <row r="943" spans="2:3" ht="15">
      <c r="B943" s="1">
        <v>16838</v>
      </c>
      <c r="C943" s="1" t="s">
        <v>649</v>
      </c>
    </row>
    <row r="944" spans="2:3" ht="15">
      <c r="B944" s="1">
        <v>16839</v>
      </c>
      <c r="C944" s="1" t="s">
        <v>649</v>
      </c>
    </row>
    <row r="945" spans="2:3" ht="15">
      <c r="B945" s="1">
        <v>16840</v>
      </c>
      <c r="C945" s="1" t="s">
        <v>649</v>
      </c>
    </row>
    <row r="946" spans="2:3" ht="15">
      <c r="B946" s="1">
        <v>16841</v>
      </c>
      <c r="C946" s="1" t="s">
        <v>655</v>
      </c>
    </row>
    <row r="947" spans="2:3" ht="15">
      <c r="B947" s="1">
        <v>16843</v>
      </c>
      <c r="C947" s="1" t="s">
        <v>649</v>
      </c>
    </row>
    <row r="948" spans="2:3" ht="15">
      <c r="B948" s="1">
        <v>16844</v>
      </c>
      <c r="C948" s="1" t="s">
        <v>655</v>
      </c>
    </row>
    <row r="949" spans="2:3" ht="15">
      <c r="B949" s="1">
        <v>16845</v>
      </c>
      <c r="C949" s="1" t="s">
        <v>649</v>
      </c>
    </row>
    <row r="950" spans="2:3" ht="15">
      <c r="B950" s="1">
        <v>16847</v>
      </c>
      <c r="C950" s="1" t="s">
        <v>649</v>
      </c>
    </row>
    <row r="951" spans="2:3" ht="15">
      <c r="B951" s="1">
        <v>16848</v>
      </c>
      <c r="C951" s="1" t="s">
        <v>655</v>
      </c>
    </row>
    <row r="952" spans="2:3" ht="15">
      <c r="B952" s="1">
        <v>16849</v>
      </c>
      <c r="C952" s="1" t="s">
        <v>649</v>
      </c>
    </row>
    <row r="953" spans="2:3" ht="15">
      <c r="B953" s="1">
        <v>16850</v>
      </c>
      <c r="C953" s="1" t="s">
        <v>649</v>
      </c>
    </row>
    <row r="954" spans="2:3" ht="15">
      <c r="B954" s="1">
        <v>16851</v>
      </c>
      <c r="C954" s="1" t="s">
        <v>655</v>
      </c>
    </row>
    <row r="955" spans="2:3" ht="15">
      <c r="B955" s="1">
        <v>16852</v>
      </c>
      <c r="C955" s="1" t="s">
        <v>655</v>
      </c>
    </row>
    <row r="956" spans="2:3" ht="15">
      <c r="B956" s="1">
        <v>16853</v>
      </c>
      <c r="C956" s="1" t="s">
        <v>655</v>
      </c>
    </row>
    <row r="957" spans="2:3" ht="15">
      <c r="B957" s="1">
        <v>16854</v>
      </c>
      <c r="C957" s="1" t="s">
        <v>655</v>
      </c>
    </row>
    <row r="958" spans="2:3" ht="15">
      <c r="B958" s="1">
        <v>16855</v>
      </c>
      <c r="C958" s="1" t="s">
        <v>649</v>
      </c>
    </row>
    <row r="959" spans="2:3" ht="15">
      <c r="B959" s="1">
        <v>16856</v>
      </c>
      <c r="C959" s="1" t="s">
        <v>649</v>
      </c>
    </row>
    <row r="960" spans="2:3" ht="15">
      <c r="B960" s="1">
        <v>16858</v>
      </c>
      <c r="C960" s="1" t="s">
        <v>649</v>
      </c>
    </row>
    <row r="961" spans="2:3" ht="15">
      <c r="B961" s="1">
        <v>16859</v>
      </c>
      <c r="C961" s="1" t="s">
        <v>655</v>
      </c>
    </row>
    <row r="962" spans="2:3" ht="15">
      <c r="B962" s="1">
        <v>16860</v>
      </c>
      <c r="C962" s="1" t="s">
        <v>655</v>
      </c>
    </row>
    <row r="963" spans="2:3" ht="15">
      <c r="B963" s="1">
        <v>16861</v>
      </c>
      <c r="C963" s="1" t="s">
        <v>649</v>
      </c>
    </row>
    <row r="964" spans="2:3" ht="15">
      <c r="B964" s="1">
        <v>16863</v>
      </c>
      <c r="C964" s="1" t="s">
        <v>649</v>
      </c>
    </row>
    <row r="965" spans="2:3" ht="15">
      <c r="B965" s="1">
        <v>16864</v>
      </c>
      <c r="C965" s="1" t="s">
        <v>649</v>
      </c>
    </row>
    <row r="966" spans="2:3" ht="15">
      <c r="B966" s="1">
        <v>16865</v>
      </c>
      <c r="C966" s="1" t="s">
        <v>655</v>
      </c>
    </row>
    <row r="967" spans="2:3" ht="15">
      <c r="B967" s="1">
        <v>16866</v>
      </c>
      <c r="C967" s="1" t="s">
        <v>655</v>
      </c>
    </row>
    <row r="968" spans="2:3" ht="15">
      <c r="B968" s="1">
        <v>16868</v>
      </c>
      <c r="C968" s="1" t="s">
        <v>655</v>
      </c>
    </row>
    <row r="969" spans="2:3" ht="15">
      <c r="B969" s="1">
        <v>16870</v>
      </c>
      <c r="C969" s="1" t="s">
        <v>655</v>
      </c>
    </row>
    <row r="970" spans="2:3" ht="15">
      <c r="B970" s="1">
        <v>16871</v>
      </c>
      <c r="C970" s="1" t="s">
        <v>655</v>
      </c>
    </row>
    <row r="971" spans="2:3" ht="15">
      <c r="B971" s="1">
        <v>16872</v>
      </c>
      <c r="C971" s="1" t="s">
        <v>655</v>
      </c>
    </row>
    <row r="972" spans="2:3" ht="15">
      <c r="B972" s="1">
        <v>16873</v>
      </c>
      <c r="C972" s="1" t="s">
        <v>649</v>
      </c>
    </row>
    <row r="973" spans="2:3" ht="15">
      <c r="B973" s="1">
        <v>16874</v>
      </c>
      <c r="C973" s="1" t="s">
        <v>655</v>
      </c>
    </row>
    <row r="974" spans="2:3" ht="15">
      <c r="B974" s="1">
        <v>16875</v>
      </c>
      <c r="C974" s="1" t="s">
        <v>655</v>
      </c>
    </row>
    <row r="975" spans="2:3" ht="15">
      <c r="B975" s="1">
        <v>16876</v>
      </c>
      <c r="C975" s="1" t="s">
        <v>649</v>
      </c>
    </row>
    <row r="976" spans="2:3" ht="15">
      <c r="B976" s="1">
        <v>16877</v>
      </c>
      <c r="C976" s="1" t="s">
        <v>655</v>
      </c>
    </row>
    <row r="977" spans="2:3" ht="15">
      <c r="B977" s="1">
        <v>16878</v>
      </c>
      <c r="C977" s="1" t="s">
        <v>649</v>
      </c>
    </row>
    <row r="978" spans="2:3" ht="15">
      <c r="B978" s="1">
        <v>16879</v>
      </c>
      <c r="C978" s="1" t="s">
        <v>649</v>
      </c>
    </row>
    <row r="979" spans="2:3" ht="15">
      <c r="B979" s="1">
        <v>16881</v>
      </c>
      <c r="C979" s="1" t="s">
        <v>649</v>
      </c>
    </row>
    <row r="980" spans="2:3" ht="15">
      <c r="B980" s="1">
        <v>16882</v>
      </c>
      <c r="C980" s="1" t="s">
        <v>655</v>
      </c>
    </row>
    <row r="981" spans="2:3" ht="15">
      <c r="B981" s="1">
        <v>16901</v>
      </c>
      <c r="C981" s="1" t="s">
        <v>649</v>
      </c>
    </row>
    <row r="982" spans="2:3" ht="15">
      <c r="B982" s="1">
        <v>16910</v>
      </c>
      <c r="C982" s="1" t="s">
        <v>654</v>
      </c>
    </row>
    <row r="983" spans="2:3" ht="15">
      <c r="B983" s="1">
        <v>16911</v>
      </c>
      <c r="C983" s="1" t="s">
        <v>649</v>
      </c>
    </row>
    <row r="984" spans="2:3" ht="15">
      <c r="B984" s="1">
        <v>16912</v>
      </c>
      <c r="C984" s="1" t="s">
        <v>649</v>
      </c>
    </row>
    <row r="985" spans="2:3" ht="15">
      <c r="B985" s="1">
        <v>16914</v>
      </c>
      <c r="C985" s="1" t="s">
        <v>654</v>
      </c>
    </row>
    <row r="986" spans="2:3" ht="15">
      <c r="B986" s="1">
        <v>16915</v>
      </c>
      <c r="C986" s="1" t="s">
        <v>649</v>
      </c>
    </row>
    <row r="987" spans="2:3" ht="15">
      <c r="B987" s="1">
        <v>16917</v>
      </c>
      <c r="C987" s="1" t="s">
        <v>649</v>
      </c>
    </row>
    <row r="988" spans="2:3" ht="15">
      <c r="B988" s="1">
        <v>16918</v>
      </c>
      <c r="C988" s="1" t="s">
        <v>649</v>
      </c>
    </row>
    <row r="989" spans="2:3" ht="15">
      <c r="B989" s="1">
        <v>16920</v>
      </c>
      <c r="C989" s="1" t="s">
        <v>649</v>
      </c>
    </row>
    <row r="990" spans="2:3" ht="15">
      <c r="B990" s="1">
        <v>16921</v>
      </c>
      <c r="C990" s="1" t="s">
        <v>649</v>
      </c>
    </row>
    <row r="991" spans="2:3" ht="15">
      <c r="B991" s="1">
        <v>16922</v>
      </c>
      <c r="C991" s="1" t="s">
        <v>649</v>
      </c>
    </row>
    <row r="992" spans="2:3" ht="15">
      <c r="B992" s="1">
        <v>16923</v>
      </c>
      <c r="C992" s="1" t="s">
        <v>649</v>
      </c>
    </row>
    <row r="993" spans="2:3" ht="15">
      <c r="B993" s="1">
        <v>16925</v>
      </c>
      <c r="C993" s="1" t="s">
        <v>654</v>
      </c>
    </row>
    <row r="994" spans="2:3" ht="15">
      <c r="B994" s="1">
        <v>16926</v>
      </c>
      <c r="C994" s="1" t="s">
        <v>654</v>
      </c>
    </row>
    <row r="995" spans="2:3" ht="15">
      <c r="B995" s="1">
        <v>16927</v>
      </c>
      <c r="C995" s="1" t="s">
        <v>649</v>
      </c>
    </row>
    <row r="996" spans="2:3" ht="15">
      <c r="B996" s="1">
        <v>16928</v>
      </c>
      <c r="C996" s="1" t="s">
        <v>649</v>
      </c>
    </row>
    <row r="997" spans="2:3" ht="15">
      <c r="B997" s="1">
        <v>16929</v>
      </c>
      <c r="C997" s="1" t="s">
        <v>649</v>
      </c>
    </row>
    <row r="998" spans="2:3" ht="15">
      <c r="B998" s="1">
        <v>16930</v>
      </c>
      <c r="C998" s="1" t="s">
        <v>649</v>
      </c>
    </row>
    <row r="999" spans="2:3" ht="15">
      <c r="B999" s="1">
        <v>16932</v>
      </c>
      <c r="C999" s="1" t="s">
        <v>649</v>
      </c>
    </row>
    <row r="1000" spans="2:3" ht="15">
      <c r="B1000" s="1">
        <v>16933</v>
      </c>
      <c r="C1000" s="1" t="s">
        <v>649</v>
      </c>
    </row>
    <row r="1001" spans="2:3" ht="15">
      <c r="B1001" s="1">
        <v>16935</v>
      </c>
      <c r="C1001" s="1" t="s">
        <v>649</v>
      </c>
    </row>
    <row r="1002" spans="2:3" ht="15">
      <c r="B1002" s="1">
        <v>16936</v>
      </c>
      <c r="C1002" s="1" t="s">
        <v>649</v>
      </c>
    </row>
    <row r="1003" spans="2:3" ht="15">
      <c r="B1003" s="1">
        <v>16937</v>
      </c>
      <c r="C1003" s="1" t="s">
        <v>649</v>
      </c>
    </row>
    <row r="1004" spans="2:3" ht="15">
      <c r="B1004" s="1">
        <v>16938</v>
      </c>
      <c r="C1004" s="1" t="s">
        <v>649</v>
      </c>
    </row>
    <row r="1005" spans="2:3" ht="15">
      <c r="B1005" s="1">
        <v>16939</v>
      </c>
      <c r="C1005" s="1" t="s">
        <v>649</v>
      </c>
    </row>
    <row r="1006" spans="2:3" ht="15">
      <c r="B1006" s="1">
        <v>16940</v>
      </c>
      <c r="C1006" s="1" t="s">
        <v>649</v>
      </c>
    </row>
    <row r="1007" spans="2:3" ht="15">
      <c r="B1007" s="1">
        <v>16941</v>
      </c>
      <c r="C1007" s="1" t="s">
        <v>649</v>
      </c>
    </row>
    <row r="1008" spans="2:3" ht="15">
      <c r="B1008" s="1">
        <v>16942</v>
      </c>
      <c r="C1008" s="1" t="s">
        <v>649</v>
      </c>
    </row>
    <row r="1009" spans="2:3" ht="15">
      <c r="B1009" s="1">
        <v>16943</v>
      </c>
      <c r="C1009" s="1" t="s">
        <v>649</v>
      </c>
    </row>
    <row r="1010" spans="2:3" ht="15">
      <c r="B1010" s="1">
        <v>16945</v>
      </c>
      <c r="C1010" s="1" t="s">
        <v>654</v>
      </c>
    </row>
    <row r="1011" spans="2:3" ht="15">
      <c r="B1011" s="1">
        <v>16946</v>
      </c>
      <c r="C1011" s="1" t="s">
        <v>649</v>
      </c>
    </row>
    <row r="1012" spans="2:3" ht="15">
      <c r="B1012" s="1">
        <v>16947</v>
      </c>
      <c r="C1012" s="1" t="s">
        <v>654</v>
      </c>
    </row>
    <row r="1013" spans="2:3" ht="15">
      <c r="B1013" s="1">
        <v>16948</v>
      </c>
      <c r="C1013" s="1" t="s">
        <v>649</v>
      </c>
    </row>
    <row r="1014" spans="2:3" ht="15">
      <c r="B1014" s="1">
        <v>16950</v>
      </c>
      <c r="C1014" s="1" t="s">
        <v>649</v>
      </c>
    </row>
    <row r="1015" spans="2:3" ht="15">
      <c r="B1015" s="1">
        <v>17001</v>
      </c>
      <c r="C1015" s="1" t="s">
        <v>651</v>
      </c>
    </row>
    <row r="1016" spans="2:3" ht="15">
      <c r="B1016" s="1">
        <v>17002</v>
      </c>
      <c r="C1016" s="1" t="s">
        <v>655</v>
      </c>
    </row>
    <row r="1017" spans="2:3" ht="15">
      <c r="B1017" s="1">
        <v>17003</v>
      </c>
      <c r="C1017" s="1" t="s">
        <v>652</v>
      </c>
    </row>
    <row r="1018" spans="2:3" ht="15">
      <c r="B1018" s="1">
        <v>17004</v>
      </c>
      <c r="C1018" s="1" t="s">
        <v>655</v>
      </c>
    </row>
    <row r="1019" spans="2:3" ht="15">
      <c r="B1019" s="1">
        <v>17005</v>
      </c>
      <c r="C1019" s="1" t="s">
        <v>655</v>
      </c>
    </row>
    <row r="1020" spans="2:3" ht="15">
      <c r="B1020" s="1">
        <v>17006</v>
      </c>
      <c r="C1020" s="1" t="s">
        <v>655</v>
      </c>
    </row>
    <row r="1021" spans="2:3" ht="15">
      <c r="B1021" s="1">
        <v>17007</v>
      </c>
      <c r="C1021" s="1" t="s">
        <v>651</v>
      </c>
    </row>
    <row r="1022" spans="2:3" ht="15">
      <c r="B1022" s="1">
        <v>17008</v>
      </c>
      <c r="C1022" s="1" t="s">
        <v>651</v>
      </c>
    </row>
    <row r="1023" spans="2:3" ht="15">
      <c r="B1023" s="1">
        <v>17009</v>
      </c>
      <c r="C1023" s="1" t="s">
        <v>655</v>
      </c>
    </row>
    <row r="1024" spans="2:3" ht="15">
      <c r="B1024" s="1">
        <v>17010</v>
      </c>
      <c r="C1024" s="1" t="s">
        <v>652</v>
      </c>
    </row>
    <row r="1025" spans="2:3" ht="15">
      <c r="B1025" s="1">
        <v>17011</v>
      </c>
      <c r="C1025" s="1" t="s">
        <v>651</v>
      </c>
    </row>
    <row r="1026" spans="2:3" ht="15">
      <c r="B1026" s="1">
        <v>17012</v>
      </c>
      <c r="C1026" s="1" t="s">
        <v>651</v>
      </c>
    </row>
    <row r="1027" spans="2:3" ht="15">
      <c r="B1027" s="1">
        <v>17013</v>
      </c>
      <c r="C1027" s="1" t="s">
        <v>651</v>
      </c>
    </row>
    <row r="1028" spans="2:3" ht="15">
      <c r="B1028" s="1">
        <v>17014</v>
      </c>
      <c r="C1028" s="1" t="s">
        <v>655</v>
      </c>
    </row>
    <row r="1029" spans="2:3" ht="15">
      <c r="B1029" s="1">
        <v>17015</v>
      </c>
      <c r="C1029" s="1" t="s">
        <v>651</v>
      </c>
    </row>
    <row r="1030" spans="2:3" ht="15">
      <c r="B1030" s="1">
        <v>17016</v>
      </c>
      <c r="C1030" s="1" t="s">
        <v>652</v>
      </c>
    </row>
    <row r="1031" spans="2:3" ht="15">
      <c r="B1031" s="1">
        <v>17017</v>
      </c>
      <c r="C1031" s="1" t="s">
        <v>655</v>
      </c>
    </row>
    <row r="1032" spans="2:3" ht="15">
      <c r="B1032" s="1">
        <v>17018</v>
      </c>
      <c r="C1032" s="1" t="s">
        <v>655</v>
      </c>
    </row>
    <row r="1033" spans="2:3" ht="15">
      <c r="B1033" s="1">
        <v>17019</v>
      </c>
      <c r="C1033" s="1" t="s">
        <v>651</v>
      </c>
    </row>
    <row r="1034" spans="2:3" ht="15">
      <c r="B1034" s="1">
        <v>17020</v>
      </c>
      <c r="C1034" s="1" t="s">
        <v>655</v>
      </c>
    </row>
    <row r="1035" spans="2:3" ht="15">
      <c r="B1035" s="1">
        <v>17021</v>
      </c>
      <c r="C1035" s="1" t="s">
        <v>655</v>
      </c>
    </row>
    <row r="1036" spans="2:3" ht="15">
      <c r="B1036" s="1">
        <v>17022</v>
      </c>
      <c r="C1036" s="1" t="s">
        <v>652</v>
      </c>
    </row>
    <row r="1037" spans="2:3" ht="15">
      <c r="B1037" s="1">
        <v>17023</v>
      </c>
      <c r="C1037" s="1" t="s">
        <v>655</v>
      </c>
    </row>
    <row r="1038" spans="2:3" ht="15">
      <c r="B1038" s="1">
        <v>17024</v>
      </c>
      <c r="C1038" s="1" t="s">
        <v>655</v>
      </c>
    </row>
    <row r="1039" spans="2:3" ht="15">
      <c r="B1039" s="1">
        <v>17025</v>
      </c>
      <c r="C1039" s="1" t="s">
        <v>651</v>
      </c>
    </row>
    <row r="1040" spans="2:3" ht="15">
      <c r="B1040" s="1">
        <v>17026</v>
      </c>
      <c r="C1040" s="1" t="s">
        <v>652</v>
      </c>
    </row>
    <row r="1041" spans="2:3" ht="15">
      <c r="B1041" s="1">
        <v>17027</v>
      </c>
      <c r="C1041" s="1" t="s">
        <v>651</v>
      </c>
    </row>
    <row r="1042" spans="2:3" ht="15">
      <c r="B1042" s="1">
        <v>17028</v>
      </c>
      <c r="C1042" s="1" t="s">
        <v>655</v>
      </c>
    </row>
    <row r="1043" spans="2:3" ht="15">
      <c r="B1043" s="1">
        <v>17029</v>
      </c>
      <c r="C1043" s="1" t="s">
        <v>655</v>
      </c>
    </row>
    <row r="1044" spans="2:3" ht="15">
      <c r="B1044" s="1">
        <v>17030</v>
      </c>
      <c r="C1044" s="1" t="s">
        <v>655</v>
      </c>
    </row>
    <row r="1045" spans="2:3" ht="15">
      <c r="B1045" s="1">
        <v>17032</v>
      </c>
      <c r="C1045" s="1" t="s">
        <v>655</v>
      </c>
    </row>
    <row r="1046" spans="2:3" ht="15">
      <c r="B1046" s="1">
        <v>17033</v>
      </c>
      <c r="C1046" s="1" t="s">
        <v>655</v>
      </c>
    </row>
    <row r="1047" spans="2:3" ht="15">
      <c r="B1047" s="1">
        <v>17034</v>
      </c>
      <c r="C1047" s="1" t="s">
        <v>655</v>
      </c>
    </row>
    <row r="1048" spans="2:3" ht="15">
      <c r="B1048" s="1">
        <v>17035</v>
      </c>
      <c r="C1048" s="1" t="s">
        <v>655</v>
      </c>
    </row>
    <row r="1049" spans="2:3" ht="15">
      <c r="B1049" s="1">
        <v>17036</v>
      </c>
      <c r="C1049" s="1" t="s">
        <v>655</v>
      </c>
    </row>
    <row r="1050" spans="2:3" ht="15">
      <c r="B1050" s="1">
        <v>17037</v>
      </c>
      <c r="C1050" s="1" t="s">
        <v>655</v>
      </c>
    </row>
    <row r="1051" spans="2:3" ht="15">
      <c r="B1051" s="1">
        <v>17038</v>
      </c>
      <c r="C1051" s="1" t="s">
        <v>652</v>
      </c>
    </row>
    <row r="1052" spans="2:3" ht="15">
      <c r="B1052" s="1">
        <v>17039</v>
      </c>
      <c r="C1052" s="1" t="s">
        <v>652</v>
      </c>
    </row>
    <row r="1053" spans="2:3" ht="15">
      <c r="B1053" s="1">
        <v>17040</v>
      </c>
      <c r="C1053" s="1" t="s">
        <v>655</v>
      </c>
    </row>
    <row r="1054" spans="2:3" ht="15">
      <c r="B1054" s="1">
        <v>17041</v>
      </c>
      <c r="C1054" s="1" t="s">
        <v>652</v>
      </c>
    </row>
    <row r="1055" spans="2:3" ht="15">
      <c r="B1055" s="1">
        <v>17042</v>
      </c>
      <c r="C1055" s="1" t="s">
        <v>652</v>
      </c>
    </row>
    <row r="1056" spans="2:3" ht="15">
      <c r="B1056" s="1">
        <v>17043</v>
      </c>
      <c r="C1056" s="1" t="s">
        <v>651</v>
      </c>
    </row>
    <row r="1057" spans="2:3" ht="15">
      <c r="B1057" s="1">
        <v>17044</v>
      </c>
      <c r="C1057" s="1" t="s">
        <v>655</v>
      </c>
    </row>
    <row r="1058" spans="2:3" ht="15">
      <c r="B1058" s="1">
        <v>17045</v>
      </c>
      <c r="C1058" s="1" t="s">
        <v>655</v>
      </c>
    </row>
    <row r="1059" spans="2:3" ht="15">
      <c r="B1059" s="1">
        <v>17046</v>
      </c>
      <c r="C1059" s="1" t="s">
        <v>652</v>
      </c>
    </row>
    <row r="1060" spans="2:3" ht="15">
      <c r="B1060" s="1">
        <v>17047</v>
      </c>
      <c r="C1060" s="1" t="s">
        <v>655</v>
      </c>
    </row>
    <row r="1061" spans="2:3" ht="15">
      <c r="B1061" s="1">
        <v>17048</v>
      </c>
      <c r="C1061" s="1" t="s">
        <v>655</v>
      </c>
    </row>
    <row r="1062" spans="2:3" ht="15">
      <c r="B1062" s="1">
        <v>17049</v>
      </c>
      <c r="C1062" s="1" t="s">
        <v>655</v>
      </c>
    </row>
    <row r="1063" spans="2:3" ht="15">
      <c r="B1063" s="1">
        <v>17050</v>
      </c>
      <c r="C1063" s="1" t="s">
        <v>651</v>
      </c>
    </row>
    <row r="1064" spans="2:3" ht="15">
      <c r="B1064" s="1">
        <v>17051</v>
      </c>
      <c r="C1064" s="1" t="s">
        <v>655</v>
      </c>
    </row>
    <row r="1065" spans="2:3" ht="15">
      <c r="B1065" s="1">
        <v>17052</v>
      </c>
      <c r="C1065" s="1" t="s">
        <v>655</v>
      </c>
    </row>
    <row r="1066" spans="2:3" ht="15">
      <c r="B1066" s="1">
        <v>17053</v>
      </c>
      <c r="C1066" s="1" t="s">
        <v>655</v>
      </c>
    </row>
    <row r="1067" spans="2:3" ht="15">
      <c r="B1067" s="1">
        <v>17054</v>
      </c>
      <c r="C1067" s="1" t="s">
        <v>655</v>
      </c>
    </row>
    <row r="1068" spans="2:3" ht="15">
      <c r="B1068" s="1">
        <v>17055</v>
      </c>
      <c r="C1068" s="1" t="s">
        <v>651</v>
      </c>
    </row>
    <row r="1069" spans="2:3" ht="15">
      <c r="B1069" s="1">
        <v>17056</v>
      </c>
      <c r="C1069" s="1" t="s">
        <v>655</v>
      </c>
    </row>
    <row r="1070" spans="2:3" ht="15">
      <c r="B1070" s="1">
        <v>17057</v>
      </c>
      <c r="C1070" s="1" t="s">
        <v>655</v>
      </c>
    </row>
    <row r="1071" spans="2:3" ht="15">
      <c r="B1071" s="1">
        <v>17058</v>
      </c>
      <c r="C1071" s="1" t="s">
        <v>655</v>
      </c>
    </row>
    <row r="1072" spans="2:3" ht="15">
      <c r="B1072" s="1">
        <v>17059</v>
      </c>
      <c r="C1072" s="1" t="s">
        <v>655</v>
      </c>
    </row>
    <row r="1073" spans="2:3" ht="15">
      <c r="B1073" s="1">
        <v>17060</v>
      </c>
      <c r="C1073" s="1" t="s">
        <v>655</v>
      </c>
    </row>
    <row r="1074" spans="2:3" ht="15">
      <c r="B1074" s="1">
        <v>17061</v>
      </c>
      <c r="C1074" s="1" t="s">
        <v>655</v>
      </c>
    </row>
    <row r="1075" spans="2:3" ht="15">
      <c r="B1075" s="1">
        <v>17062</v>
      </c>
      <c r="C1075" s="1" t="s">
        <v>655</v>
      </c>
    </row>
    <row r="1076" spans="2:3" ht="15">
      <c r="B1076" s="1">
        <v>17063</v>
      </c>
      <c r="C1076" s="1" t="s">
        <v>655</v>
      </c>
    </row>
    <row r="1077" spans="2:3" ht="15">
      <c r="B1077" s="1">
        <v>17064</v>
      </c>
      <c r="C1077" s="1" t="s">
        <v>652</v>
      </c>
    </row>
    <row r="1078" spans="2:3" ht="15">
      <c r="B1078" s="1">
        <v>17065</v>
      </c>
      <c r="C1078" s="1" t="s">
        <v>651</v>
      </c>
    </row>
    <row r="1079" spans="2:3" ht="15">
      <c r="B1079" s="1">
        <v>17066</v>
      </c>
      <c r="C1079" s="1" t="s">
        <v>655</v>
      </c>
    </row>
    <row r="1080" spans="2:3" ht="15">
      <c r="B1080" s="1">
        <v>17067</v>
      </c>
      <c r="C1080" s="1" t="s">
        <v>652</v>
      </c>
    </row>
    <row r="1081" spans="2:3" ht="15">
      <c r="B1081" s="1">
        <v>17068</v>
      </c>
      <c r="C1081" s="1" t="s">
        <v>655</v>
      </c>
    </row>
    <row r="1082" spans="2:3" ht="15">
      <c r="B1082" s="1">
        <v>17069</v>
      </c>
      <c r="C1082" s="1" t="s">
        <v>655</v>
      </c>
    </row>
    <row r="1083" spans="2:3" ht="15">
      <c r="B1083" s="1">
        <v>17070</v>
      </c>
      <c r="C1083" s="1" t="s">
        <v>651</v>
      </c>
    </row>
    <row r="1084" spans="2:3" ht="15">
      <c r="B1084" s="1">
        <v>17071</v>
      </c>
      <c r="C1084" s="1" t="s">
        <v>655</v>
      </c>
    </row>
    <row r="1085" spans="2:3" ht="15">
      <c r="B1085" s="1">
        <v>17072</v>
      </c>
      <c r="C1085" s="1" t="s">
        <v>651</v>
      </c>
    </row>
    <row r="1086" spans="2:3" ht="15">
      <c r="B1086" s="1">
        <v>17073</v>
      </c>
      <c r="C1086" s="1" t="s">
        <v>652</v>
      </c>
    </row>
    <row r="1087" spans="2:3" ht="15">
      <c r="B1087" s="1">
        <v>17074</v>
      </c>
      <c r="C1087" s="1" t="s">
        <v>655</v>
      </c>
    </row>
    <row r="1088" spans="2:3" ht="15">
      <c r="B1088" s="1">
        <v>17075</v>
      </c>
      <c r="C1088" s="1" t="s">
        <v>655</v>
      </c>
    </row>
    <row r="1089" spans="2:3" ht="15">
      <c r="B1089" s="1">
        <v>17076</v>
      </c>
      <c r="C1089" s="1" t="s">
        <v>655</v>
      </c>
    </row>
    <row r="1090" spans="2:3" ht="15">
      <c r="B1090" s="1">
        <v>17077</v>
      </c>
      <c r="C1090" s="1" t="s">
        <v>652</v>
      </c>
    </row>
    <row r="1091" spans="2:3" ht="15">
      <c r="B1091" s="1">
        <v>17078</v>
      </c>
      <c r="C1091" s="1" t="s">
        <v>652</v>
      </c>
    </row>
    <row r="1092" spans="2:3" ht="15">
      <c r="B1092" s="1">
        <v>17080</v>
      </c>
      <c r="C1092" s="1" t="s">
        <v>655</v>
      </c>
    </row>
    <row r="1093" spans="2:3" ht="15">
      <c r="B1093" s="1">
        <v>17081</v>
      </c>
      <c r="C1093" s="1" t="s">
        <v>651</v>
      </c>
    </row>
    <row r="1094" spans="2:3" ht="15">
      <c r="B1094" s="1">
        <v>17082</v>
      </c>
      <c r="C1094" s="1" t="s">
        <v>655</v>
      </c>
    </row>
    <row r="1095" spans="2:3" ht="15">
      <c r="B1095" s="1">
        <v>17083</v>
      </c>
      <c r="C1095" s="1" t="s">
        <v>652</v>
      </c>
    </row>
    <row r="1096" spans="2:3" ht="15">
      <c r="B1096" s="1">
        <v>17084</v>
      </c>
      <c r="C1096" s="1" t="s">
        <v>655</v>
      </c>
    </row>
    <row r="1097" spans="2:3" ht="15">
      <c r="B1097" s="1">
        <v>17085</v>
      </c>
      <c r="C1097" s="1" t="s">
        <v>652</v>
      </c>
    </row>
    <row r="1098" spans="2:3" ht="15">
      <c r="B1098" s="1">
        <v>17086</v>
      </c>
      <c r="C1098" s="1" t="s">
        <v>655</v>
      </c>
    </row>
    <row r="1099" spans="2:3" ht="15">
      <c r="B1099" s="1">
        <v>17087</v>
      </c>
      <c r="C1099" s="1" t="s">
        <v>652</v>
      </c>
    </row>
    <row r="1100" spans="2:3" ht="15">
      <c r="B1100" s="1">
        <v>17088</v>
      </c>
      <c r="C1100" s="1" t="s">
        <v>652</v>
      </c>
    </row>
    <row r="1101" spans="2:3" ht="15">
      <c r="B1101" s="1">
        <v>17089</v>
      </c>
      <c r="C1101" s="1" t="s">
        <v>651</v>
      </c>
    </row>
    <row r="1102" spans="2:3" ht="15">
      <c r="B1102" s="1">
        <v>17090</v>
      </c>
      <c r="C1102" s="1" t="s">
        <v>655</v>
      </c>
    </row>
    <row r="1103" spans="2:3" ht="15">
      <c r="B1103" s="1">
        <v>17091</v>
      </c>
      <c r="C1103" s="1" t="s">
        <v>652</v>
      </c>
    </row>
    <row r="1104" spans="2:3" ht="15">
      <c r="B1104" s="1">
        <v>17093</v>
      </c>
      <c r="C1104" s="1" t="s">
        <v>651</v>
      </c>
    </row>
    <row r="1105" spans="2:3" ht="15">
      <c r="B1105" s="1">
        <v>17094</v>
      </c>
      <c r="C1105" s="1" t="s">
        <v>655</v>
      </c>
    </row>
    <row r="1106" spans="2:3" ht="15">
      <c r="B1106" s="1">
        <v>17097</v>
      </c>
      <c r="C1106" s="1" t="s">
        <v>655</v>
      </c>
    </row>
    <row r="1107" spans="2:3" ht="15">
      <c r="B1107" s="1">
        <v>17098</v>
      </c>
      <c r="C1107" s="1" t="s">
        <v>655</v>
      </c>
    </row>
    <row r="1108" spans="2:3" ht="15">
      <c r="B1108" s="1">
        <v>17099</v>
      </c>
      <c r="C1108" s="1" t="s">
        <v>655</v>
      </c>
    </row>
    <row r="1109" spans="2:3" ht="15">
      <c r="B1109" s="1">
        <v>17101</v>
      </c>
      <c r="C1109" s="1" t="s">
        <v>655</v>
      </c>
    </row>
    <row r="1110" spans="2:3" ht="15">
      <c r="B1110" s="1">
        <v>17102</v>
      </c>
      <c r="C1110" s="1" t="s">
        <v>655</v>
      </c>
    </row>
    <row r="1111" spans="2:3" ht="15">
      <c r="B1111" s="1">
        <v>17103</v>
      </c>
      <c r="C1111" s="1" t="s">
        <v>655</v>
      </c>
    </row>
    <row r="1112" spans="2:3" ht="15">
      <c r="B1112" s="1">
        <v>17104</v>
      </c>
      <c r="C1112" s="1" t="s">
        <v>655</v>
      </c>
    </row>
    <row r="1113" spans="2:3" ht="15">
      <c r="B1113" s="1">
        <v>17105</v>
      </c>
      <c r="C1113" s="1" t="s">
        <v>651</v>
      </c>
    </row>
    <row r="1114" spans="2:3" ht="15">
      <c r="B1114" s="1">
        <v>17106</v>
      </c>
      <c r="C1114" s="1" t="s">
        <v>651</v>
      </c>
    </row>
    <row r="1115" spans="2:3" ht="15">
      <c r="B1115" s="1">
        <v>17107</v>
      </c>
      <c r="C1115" s="1" t="s">
        <v>651</v>
      </c>
    </row>
    <row r="1116" spans="2:3" ht="15">
      <c r="B1116" s="1">
        <v>17108</v>
      </c>
      <c r="C1116" s="1" t="s">
        <v>651</v>
      </c>
    </row>
    <row r="1117" spans="2:3" ht="15">
      <c r="B1117" s="1">
        <v>17109</v>
      </c>
      <c r="C1117" s="1" t="s">
        <v>655</v>
      </c>
    </row>
    <row r="1118" spans="2:3" ht="15">
      <c r="B1118" s="1">
        <v>17110</v>
      </c>
      <c r="C1118" s="1" t="s">
        <v>655</v>
      </c>
    </row>
    <row r="1119" spans="2:3" ht="15">
      <c r="B1119" s="1">
        <v>17111</v>
      </c>
      <c r="C1119" s="1" t="s">
        <v>655</v>
      </c>
    </row>
    <row r="1120" spans="2:3" ht="15">
      <c r="B1120" s="1">
        <v>17112</v>
      </c>
      <c r="C1120" s="1" t="s">
        <v>655</v>
      </c>
    </row>
    <row r="1121" spans="2:3" ht="15">
      <c r="B1121" s="1">
        <v>17113</v>
      </c>
      <c r="C1121" s="1" t="s">
        <v>655</v>
      </c>
    </row>
    <row r="1122" spans="2:3" ht="15">
      <c r="B1122" s="1">
        <v>17120</v>
      </c>
      <c r="C1122" s="1" t="s">
        <v>655</v>
      </c>
    </row>
    <row r="1123" spans="2:3" ht="15">
      <c r="B1123" s="1">
        <v>17121</v>
      </c>
      <c r="C1123" s="1" t="s">
        <v>651</v>
      </c>
    </row>
    <row r="1124" spans="2:3" ht="15">
      <c r="B1124" s="1">
        <v>17122</v>
      </c>
      <c r="C1124" s="1" t="s">
        <v>651</v>
      </c>
    </row>
    <row r="1125" spans="2:3" ht="15">
      <c r="B1125" s="1">
        <v>17123</v>
      </c>
      <c r="C1125" s="1" t="s">
        <v>651</v>
      </c>
    </row>
    <row r="1126" spans="2:3" ht="15">
      <c r="B1126" s="1">
        <v>17124</v>
      </c>
      <c r="C1126" s="1" t="s">
        <v>651</v>
      </c>
    </row>
    <row r="1127" spans="2:3" ht="15">
      <c r="B1127" s="1">
        <v>17125</v>
      </c>
      <c r="C1127" s="1" t="s">
        <v>651</v>
      </c>
    </row>
    <row r="1128" spans="2:3" ht="15">
      <c r="B1128" s="1">
        <v>17126</v>
      </c>
      <c r="C1128" s="1" t="s">
        <v>651</v>
      </c>
    </row>
    <row r="1129" spans="2:3" ht="15">
      <c r="B1129" s="1">
        <v>17127</v>
      </c>
      <c r="C1129" s="1" t="s">
        <v>651</v>
      </c>
    </row>
    <row r="1130" spans="2:3" ht="15">
      <c r="B1130" s="1">
        <v>17128</v>
      </c>
      <c r="C1130" s="1" t="s">
        <v>651</v>
      </c>
    </row>
    <row r="1131" spans="2:3" ht="15">
      <c r="B1131" s="1">
        <v>17129</v>
      </c>
      <c r="C1131" s="1" t="s">
        <v>651</v>
      </c>
    </row>
    <row r="1132" spans="2:3" ht="15">
      <c r="B1132" s="1">
        <v>17130</v>
      </c>
      <c r="C1132" s="1" t="s">
        <v>651</v>
      </c>
    </row>
    <row r="1133" spans="2:3" ht="15">
      <c r="B1133" s="1">
        <v>17140</v>
      </c>
      <c r="C1133" s="1" t="s">
        <v>651</v>
      </c>
    </row>
    <row r="1134" spans="2:3" ht="15">
      <c r="B1134" s="1">
        <v>17177</v>
      </c>
      <c r="C1134" s="1" t="s">
        <v>651</v>
      </c>
    </row>
    <row r="1135" spans="2:3" ht="15">
      <c r="B1135" s="1">
        <v>17201</v>
      </c>
      <c r="C1135" s="1" t="s">
        <v>651</v>
      </c>
    </row>
    <row r="1136" spans="2:3" ht="15">
      <c r="B1136" s="1">
        <v>17202</v>
      </c>
      <c r="C1136" s="1" t="s">
        <v>651</v>
      </c>
    </row>
    <row r="1137" spans="2:3" ht="15">
      <c r="B1137" s="1">
        <v>17210</v>
      </c>
      <c r="C1137" s="1" t="s">
        <v>651</v>
      </c>
    </row>
    <row r="1138" spans="2:3" ht="15">
      <c r="B1138" s="1">
        <v>17211</v>
      </c>
      <c r="C1138" s="1" t="s">
        <v>653</v>
      </c>
    </row>
    <row r="1139" spans="2:3" ht="15">
      <c r="B1139" s="1">
        <v>17212</v>
      </c>
      <c r="C1139" s="1" t="s">
        <v>651</v>
      </c>
    </row>
    <row r="1140" spans="2:3" ht="15">
      <c r="B1140" s="1">
        <v>17213</v>
      </c>
      <c r="C1140" s="1" t="s">
        <v>655</v>
      </c>
    </row>
    <row r="1141" spans="2:3" ht="15">
      <c r="B1141" s="1">
        <v>17214</v>
      </c>
      <c r="C1141" s="1" t="s">
        <v>651</v>
      </c>
    </row>
    <row r="1142" spans="2:3" ht="15">
      <c r="B1142" s="1">
        <v>17215</v>
      </c>
      <c r="C1142" s="1" t="s">
        <v>651</v>
      </c>
    </row>
    <row r="1143" spans="2:3" ht="15">
      <c r="B1143" s="1">
        <v>17217</v>
      </c>
      <c r="C1143" s="1" t="s">
        <v>651</v>
      </c>
    </row>
    <row r="1144" spans="2:3" ht="15">
      <c r="B1144" s="1">
        <v>17219</v>
      </c>
      <c r="C1144" s="1" t="s">
        <v>651</v>
      </c>
    </row>
    <row r="1145" spans="2:3" ht="15">
      <c r="B1145" s="1">
        <v>17220</v>
      </c>
      <c r="C1145" s="1" t="s">
        <v>651</v>
      </c>
    </row>
    <row r="1146" spans="2:3" ht="15">
      <c r="B1146" s="1">
        <v>17221</v>
      </c>
      <c r="C1146" s="1" t="s">
        <v>651</v>
      </c>
    </row>
    <row r="1147" spans="2:3" ht="15">
      <c r="B1147" s="1">
        <v>17222</v>
      </c>
      <c r="C1147" s="1" t="s">
        <v>651</v>
      </c>
    </row>
    <row r="1148" spans="2:3" ht="15">
      <c r="B1148" s="1">
        <v>17223</v>
      </c>
      <c r="C1148" s="1" t="s">
        <v>651</v>
      </c>
    </row>
    <row r="1149" spans="2:3" ht="15">
      <c r="B1149" s="1">
        <v>17224</v>
      </c>
      <c r="C1149" s="1" t="s">
        <v>651</v>
      </c>
    </row>
    <row r="1150" spans="2:3" ht="15">
      <c r="B1150" s="1">
        <v>17225</v>
      </c>
      <c r="C1150" s="1" t="s">
        <v>651</v>
      </c>
    </row>
    <row r="1151" spans="2:3" ht="15">
      <c r="B1151" s="1">
        <v>17228</v>
      </c>
      <c r="C1151" s="1" t="s">
        <v>651</v>
      </c>
    </row>
    <row r="1152" spans="2:3" ht="15">
      <c r="B1152" s="1">
        <v>17229</v>
      </c>
      <c r="C1152" s="1" t="s">
        <v>651</v>
      </c>
    </row>
    <row r="1153" spans="2:3" ht="15">
      <c r="B1153" s="1">
        <v>17231</v>
      </c>
      <c r="C1153" s="1" t="s">
        <v>651</v>
      </c>
    </row>
    <row r="1154" spans="2:3" ht="15">
      <c r="B1154" s="1">
        <v>17232</v>
      </c>
      <c r="C1154" s="1" t="s">
        <v>651</v>
      </c>
    </row>
    <row r="1155" spans="2:3" ht="15">
      <c r="B1155" s="1">
        <v>17233</v>
      </c>
      <c r="C1155" s="1" t="s">
        <v>651</v>
      </c>
    </row>
    <row r="1156" spans="2:3" ht="15">
      <c r="B1156" s="1">
        <v>17235</v>
      </c>
      <c r="C1156" s="1" t="s">
        <v>651</v>
      </c>
    </row>
    <row r="1157" spans="2:3" ht="15">
      <c r="B1157" s="1">
        <v>17236</v>
      </c>
      <c r="C1157" s="1" t="s">
        <v>651</v>
      </c>
    </row>
    <row r="1158" spans="2:3" ht="15">
      <c r="B1158" s="1">
        <v>17237</v>
      </c>
      <c r="C1158" s="1" t="s">
        <v>651</v>
      </c>
    </row>
    <row r="1159" spans="2:3" ht="15">
      <c r="B1159" s="1">
        <v>17238</v>
      </c>
      <c r="C1159" s="1" t="s">
        <v>651</v>
      </c>
    </row>
    <row r="1160" spans="2:3" ht="15">
      <c r="B1160" s="1">
        <v>17239</v>
      </c>
      <c r="C1160" s="1" t="s">
        <v>655</v>
      </c>
    </row>
    <row r="1161" spans="2:3" ht="15">
      <c r="B1161" s="1">
        <v>17240</v>
      </c>
      <c r="C1161" s="1" t="s">
        <v>651</v>
      </c>
    </row>
    <row r="1162" spans="2:3" ht="15">
      <c r="B1162" s="1">
        <v>17241</v>
      </c>
      <c r="C1162" s="1" t="s">
        <v>651</v>
      </c>
    </row>
    <row r="1163" spans="2:3" ht="15">
      <c r="B1163" s="1">
        <v>17243</v>
      </c>
      <c r="C1163" s="1" t="s">
        <v>655</v>
      </c>
    </row>
    <row r="1164" spans="2:3" ht="15">
      <c r="B1164" s="1">
        <v>17244</v>
      </c>
      <c r="C1164" s="1" t="s">
        <v>651</v>
      </c>
    </row>
    <row r="1165" spans="2:3" ht="15">
      <c r="B1165" s="1">
        <v>17246</v>
      </c>
      <c r="C1165" s="1" t="s">
        <v>651</v>
      </c>
    </row>
    <row r="1166" spans="2:3" ht="15">
      <c r="B1166" s="1">
        <v>17247</v>
      </c>
      <c r="C1166" s="1" t="s">
        <v>651</v>
      </c>
    </row>
    <row r="1167" spans="2:3" ht="15">
      <c r="B1167" s="1">
        <v>17249</v>
      </c>
      <c r="C1167" s="1" t="s">
        <v>655</v>
      </c>
    </row>
    <row r="1168" spans="2:3" ht="15">
      <c r="B1168" s="1">
        <v>17250</v>
      </c>
      <c r="C1168" s="1" t="s">
        <v>651</v>
      </c>
    </row>
    <row r="1169" spans="2:3" ht="15">
      <c r="B1169" s="1">
        <v>17251</v>
      </c>
      <c r="C1169" s="1" t="s">
        <v>651</v>
      </c>
    </row>
    <row r="1170" spans="2:3" ht="15">
      <c r="B1170" s="1">
        <v>17252</v>
      </c>
      <c r="C1170" s="1" t="s">
        <v>651</v>
      </c>
    </row>
    <row r="1171" spans="2:3" ht="15">
      <c r="B1171" s="1">
        <v>17253</v>
      </c>
      <c r="C1171" s="1" t="s">
        <v>655</v>
      </c>
    </row>
    <row r="1172" spans="2:3" ht="15">
      <c r="B1172" s="1">
        <v>17254</v>
      </c>
      <c r="C1172" s="1" t="s">
        <v>651</v>
      </c>
    </row>
    <row r="1173" spans="2:3" ht="15">
      <c r="B1173" s="1">
        <v>17255</v>
      </c>
      <c r="C1173" s="1" t="s">
        <v>655</v>
      </c>
    </row>
    <row r="1174" spans="2:3" ht="15">
      <c r="B1174" s="1">
        <v>17256</v>
      </c>
      <c r="C1174" s="1" t="s">
        <v>651</v>
      </c>
    </row>
    <row r="1175" spans="2:3" ht="15">
      <c r="B1175" s="1">
        <v>17257</v>
      </c>
      <c r="C1175" s="1" t="s">
        <v>651</v>
      </c>
    </row>
    <row r="1176" spans="2:3" ht="15">
      <c r="B1176" s="1">
        <v>17260</v>
      </c>
      <c r="C1176" s="1" t="s">
        <v>655</v>
      </c>
    </row>
    <row r="1177" spans="2:3" ht="15">
      <c r="B1177" s="1">
        <v>17261</v>
      </c>
      <c r="C1177" s="1" t="s">
        <v>651</v>
      </c>
    </row>
    <row r="1178" spans="2:3" ht="15">
      <c r="B1178" s="1">
        <v>17262</v>
      </c>
      <c r="C1178" s="1" t="s">
        <v>651</v>
      </c>
    </row>
    <row r="1179" spans="2:3" ht="15">
      <c r="B1179" s="1">
        <v>17263</v>
      </c>
      <c r="C1179" s="1" t="s">
        <v>651</v>
      </c>
    </row>
    <row r="1180" spans="2:3" ht="15">
      <c r="B1180" s="1">
        <v>17264</v>
      </c>
      <c r="C1180" s="1" t="s">
        <v>655</v>
      </c>
    </row>
    <row r="1181" spans="2:3" ht="15">
      <c r="B1181" s="1">
        <v>17265</v>
      </c>
      <c r="C1181" s="1" t="s">
        <v>651</v>
      </c>
    </row>
    <row r="1182" spans="2:3" ht="15">
      <c r="B1182" s="1">
        <v>17266</v>
      </c>
      <c r="C1182" s="1" t="s">
        <v>651</v>
      </c>
    </row>
    <row r="1183" spans="2:3" ht="15">
      <c r="B1183" s="1">
        <v>17267</v>
      </c>
      <c r="C1183" s="1" t="s">
        <v>651</v>
      </c>
    </row>
    <row r="1184" spans="2:3" ht="15">
      <c r="B1184" s="1">
        <v>17268</v>
      </c>
      <c r="C1184" s="1" t="s">
        <v>651</v>
      </c>
    </row>
    <row r="1185" spans="2:3" ht="15">
      <c r="B1185" s="1">
        <v>17270</v>
      </c>
      <c r="C1185" s="1" t="s">
        <v>651</v>
      </c>
    </row>
    <row r="1186" spans="2:3" ht="15">
      <c r="B1186" s="1">
        <v>17271</v>
      </c>
      <c r="C1186" s="1" t="s">
        <v>651</v>
      </c>
    </row>
    <row r="1187" spans="2:3" ht="15">
      <c r="B1187" s="1">
        <v>17272</v>
      </c>
      <c r="C1187" s="1" t="s">
        <v>651</v>
      </c>
    </row>
    <row r="1188" spans="2:3" ht="15">
      <c r="B1188" s="1">
        <v>17301</v>
      </c>
      <c r="C1188" s="1" t="s">
        <v>651</v>
      </c>
    </row>
    <row r="1189" spans="2:3" ht="15">
      <c r="B1189" s="1">
        <v>17302</v>
      </c>
      <c r="C1189" s="1" t="s">
        <v>651</v>
      </c>
    </row>
    <row r="1190" spans="2:3" ht="15">
      <c r="B1190" s="1">
        <v>17303</v>
      </c>
      <c r="C1190" s="1" t="s">
        <v>651</v>
      </c>
    </row>
    <row r="1191" spans="2:3" ht="15">
      <c r="B1191" s="1">
        <v>17304</v>
      </c>
      <c r="C1191" s="1" t="s">
        <v>651</v>
      </c>
    </row>
    <row r="1192" spans="2:3" ht="15">
      <c r="B1192" s="1">
        <v>17306</v>
      </c>
      <c r="C1192" s="1" t="s">
        <v>651</v>
      </c>
    </row>
    <row r="1193" spans="2:3" ht="15">
      <c r="B1193" s="1">
        <v>17307</v>
      </c>
      <c r="C1193" s="1" t="s">
        <v>651</v>
      </c>
    </row>
    <row r="1194" spans="2:3" ht="15">
      <c r="B1194" s="1">
        <v>17309</v>
      </c>
      <c r="C1194" s="1" t="s">
        <v>651</v>
      </c>
    </row>
    <row r="1195" spans="2:3" ht="15">
      <c r="B1195" s="1">
        <v>17310</v>
      </c>
      <c r="C1195" s="1" t="s">
        <v>651</v>
      </c>
    </row>
    <row r="1196" spans="2:3" ht="15">
      <c r="B1196" s="1">
        <v>17311</v>
      </c>
      <c r="C1196" s="1" t="s">
        <v>651</v>
      </c>
    </row>
    <row r="1197" spans="2:3" ht="15">
      <c r="B1197" s="1">
        <v>17312</v>
      </c>
      <c r="C1197" s="1" t="s">
        <v>651</v>
      </c>
    </row>
    <row r="1198" spans="2:3" ht="15">
      <c r="B1198" s="1">
        <v>17313</v>
      </c>
      <c r="C1198" s="1" t="s">
        <v>651</v>
      </c>
    </row>
    <row r="1199" spans="2:3" ht="15">
      <c r="B1199" s="1">
        <v>17314</v>
      </c>
      <c r="C1199" s="1" t="s">
        <v>651</v>
      </c>
    </row>
    <row r="1200" spans="2:3" ht="15">
      <c r="B1200" s="1">
        <v>17315</v>
      </c>
      <c r="C1200" s="1" t="s">
        <v>651</v>
      </c>
    </row>
    <row r="1201" spans="2:3" ht="15">
      <c r="B1201" s="1">
        <v>17316</v>
      </c>
      <c r="C1201" s="1" t="s">
        <v>651</v>
      </c>
    </row>
    <row r="1202" spans="2:3" ht="15">
      <c r="B1202" s="1">
        <v>17317</v>
      </c>
      <c r="C1202" s="1" t="s">
        <v>651</v>
      </c>
    </row>
    <row r="1203" spans="2:3" ht="15">
      <c r="B1203" s="1">
        <v>17318</v>
      </c>
      <c r="C1203" s="1" t="s">
        <v>651</v>
      </c>
    </row>
    <row r="1204" spans="2:3" ht="15">
      <c r="B1204" s="1">
        <v>17319</v>
      </c>
      <c r="C1204" s="1" t="s">
        <v>651</v>
      </c>
    </row>
    <row r="1205" spans="2:3" ht="15">
      <c r="B1205" s="1">
        <v>17320</v>
      </c>
      <c r="C1205" s="1" t="s">
        <v>651</v>
      </c>
    </row>
    <row r="1206" spans="2:3" ht="15">
      <c r="B1206" s="1">
        <v>17321</v>
      </c>
      <c r="C1206" s="1" t="s">
        <v>651</v>
      </c>
    </row>
    <row r="1207" spans="2:3" ht="15">
      <c r="B1207" s="1">
        <v>17322</v>
      </c>
      <c r="C1207" s="1" t="s">
        <v>651</v>
      </c>
    </row>
    <row r="1208" spans="2:3" ht="15">
      <c r="B1208" s="1">
        <v>17323</v>
      </c>
      <c r="C1208" s="1" t="s">
        <v>651</v>
      </c>
    </row>
    <row r="1209" spans="2:3" ht="15">
      <c r="B1209" s="1">
        <v>17324</v>
      </c>
      <c r="C1209" s="1" t="s">
        <v>651</v>
      </c>
    </row>
    <row r="1210" spans="2:3" ht="15">
      <c r="B1210" s="1">
        <v>17325</v>
      </c>
      <c r="C1210" s="1" t="s">
        <v>651</v>
      </c>
    </row>
    <row r="1211" spans="2:3" ht="15">
      <c r="B1211" s="1">
        <v>17326</v>
      </c>
      <c r="C1211" s="1" t="s">
        <v>651</v>
      </c>
    </row>
    <row r="1212" spans="2:3" ht="15">
      <c r="B1212" s="1">
        <v>17327</v>
      </c>
      <c r="C1212" s="1" t="s">
        <v>651</v>
      </c>
    </row>
    <row r="1213" spans="2:3" ht="15">
      <c r="B1213" s="1">
        <v>17329</v>
      </c>
      <c r="C1213" s="1" t="s">
        <v>651</v>
      </c>
    </row>
    <row r="1214" spans="2:3" ht="15">
      <c r="B1214" s="1">
        <v>17331</v>
      </c>
      <c r="C1214" s="1" t="s">
        <v>651</v>
      </c>
    </row>
    <row r="1215" spans="2:3" ht="15">
      <c r="B1215" s="1">
        <v>17332</v>
      </c>
      <c r="C1215" s="1" t="s">
        <v>651</v>
      </c>
    </row>
    <row r="1216" spans="2:3" ht="15">
      <c r="B1216" s="1">
        <v>17333</v>
      </c>
      <c r="C1216" s="1" t="s">
        <v>651</v>
      </c>
    </row>
    <row r="1217" spans="2:3" ht="15">
      <c r="B1217" s="1">
        <v>17334</v>
      </c>
      <c r="C1217" s="1" t="s">
        <v>651</v>
      </c>
    </row>
    <row r="1218" spans="2:3" ht="15">
      <c r="B1218" s="1">
        <v>17337</v>
      </c>
      <c r="C1218" s="1" t="s">
        <v>651</v>
      </c>
    </row>
    <row r="1219" spans="2:3" ht="15">
      <c r="B1219" s="1">
        <v>17339</v>
      </c>
      <c r="C1219" s="1" t="s">
        <v>651</v>
      </c>
    </row>
    <row r="1220" spans="2:3" ht="15">
      <c r="B1220" s="1">
        <v>17340</v>
      </c>
      <c r="C1220" s="1" t="s">
        <v>651</v>
      </c>
    </row>
    <row r="1221" spans="2:3" ht="15">
      <c r="B1221" s="1">
        <v>17342</v>
      </c>
      <c r="C1221" s="1" t="s">
        <v>651</v>
      </c>
    </row>
    <row r="1222" spans="2:3" ht="15">
      <c r="B1222" s="1">
        <v>17343</v>
      </c>
      <c r="C1222" s="1" t="s">
        <v>651</v>
      </c>
    </row>
    <row r="1223" spans="2:3" ht="15">
      <c r="B1223" s="1">
        <v>17344</v>
      </c>
      <c r="C1223" s="1" t="s">
        <v>651</v>
      </c>
    </row>
    <row r="1224" spans="2:3" ht="15">
      <c r="B1224" s="1">
        <v>17345</v>
      </c>
      <c r="C1224" s="1" t="s">
        <v>651</v>
      </c>
    </row>
    <row r="1225" spans="2:3" ht="15">
      <c r="B1225" s="1">
        <v>17347</v>
      </c>
      <c r="C1225" s="1" t="s">
        <v>651</v>
      </c>
    </row>
    <row r="1226" spans="2:3" ht="15">
      <c r="B1226" s="1">
        <v>17349</v>
      </c>
      <c r="C1226" s="1" t="s">
        <v>651</v>
      </c>
    </row>
    <row r="1227" spans="2:3" ht="15">
      <c r="B1227" s="1">
        <v>17350</v>
      </c>
      <c r="C1227" s="1" t="s">
        <v>651</v>
      </c>
    </row>
    <row r="1228" spans="2:3" ht="15">
      <c r="B1228" s="1">
        <v>17352</v>
      </c>
      <c r="C1228" s="1" t="s">
        <v>651</v>
      </c>
    </row>
    <row r="1229" spans="2:3" ht="15">
      <c r="B1229" s="1">
        <v>17353</v>
      </c>
      <c r="C1229" s="1" t="s">
        <v>651</v>
      </c>
    </row>
    <row r="1230" spans="2:3" ht="15">
      <c r="B1230" s="1">
        <v>17354</v>
      </c>
      <c r="C1230" s="1" t="s">
        <v>651</v>
      </c>
    </row>
    <row r="1231" spans="2:3" ht="15">
      <c r="B1231" s="1">
        <v>17355</v>
      </c>
      <c r="C1231" s="1" t="s">
        <v>651</v>
      </c>
    </row>
    <row r="1232" spans="2:3" ht="15">
      <c r="B1232" s="1">
        <v>17356</v>
      </c>
      <c r="C1232" s="1" t="s">
        <v>651</v>
      </c>
    </row>
    <row r="1233" spans="2:3" ht="15">
      <c r="B1233" s="1">
        <v>17358</v>
      </c>
      <c r="C1233" s="1" t="s">
        <v>651</v>
      </c>
    </row>
    <row r="1234" spans="2:3" ht="15">
      <c r="B1234" s="1">
        <v>17360</v>
      </c>
      <c r="C1234" s="1" t="s">
        <v>651</v>
      </c>
    </row>
    <row r="1235" spans="2:3" ht="15">
      <c r="B1235" s="1">
        <v>17361</v>
      </c>
      <c r="C1235" s="1" t="s">
        <v>651</v>
      </c>
    </row>
    <row r="1236" spans="2:3" ht="15">
      <c r="B1236" s="1">
        <v>17362</v>
      </c>
      <c r="C1236" s="1" t="s">
        <v>651</v>
      </c>
    </row>
    <row r="1237" spans="2:3" ht="15">
      <c r="B1237" s="1">
        <v>17363</v>
      </c>
      <c r="C1237" s="1" t="s">
        <v>651</v>
      </c>
    </row>
    <row r="1238" spans="2:3" ht="15">
      <c r="B1238" s="1">
        <v>17364</v>
      </c>
      <c r="C1238" s="1" t="s">
        <v>651</v>
      </c>
    </row>
    <row r="1239" spans="2:3" ht="15">
      <c r="B1239" s="1">
        <v>17365</v>
      </c>
      <c r="C1239" s="1" t="s">
        <v>651</v>
      </c>
    </row>
    <row r="1240" spans="2:3" ht="15">
      <c r="B1240" s="1">
        <v>17366</v>
      </c>
      <c r="C1240" s="1" t="s">
        <v>651</v>
      </c>
    </row>
    <row r="1241" spans="2:3" ht="15">
      <c r="B1241" s="1">
        <v>17368</v>
      </c>
      <c r="C1241" s="1" t="s">
        <v>651</v>
      </c>
    </row>
    <row r="1242" spans="2:3" ht="15">
      <c r="B1242" s="1">
        <v>17370</v>
      </c>
      <c r="C1242" s="1" t="s">
        <v>651</v>
      </c>
    </row>
    <row r="1243" spans="2:3" ht="15">
      <c r="B1243" s="1">
        <v>17371</v>
      </c>
      <c r="C1243" s="1" t="s">
        <v>651</v>
      </c>
    </row>
    <row r="1244" spans="2:3" ht="15">
      <c r="B1244" s="1">
        <v>17372</v>
      </c>
      <c r="C1244" s="1" t="s">
        <v>651</v>
      </c>
    </row>
    <row r="1245" spans="2:3" ht="15">
      <c r="B1245" s="1">
        <v>17375</v>
      </c>
      <c r="C1245" s="1" t="s">
        <v>651</v>
      </c>
    </row>
    <row r="1246" spans="2:3" ht="15">
      <c r="B1246" s="1">
        <v>17401</v>
      </c>
      <c r="C1246" s="1" t="s">
        <v>651</v>
      </c>
    </row>
    <row r="1247" spans="2:3" ht="15">
      <c r="B1247" s="1">
        <v>17402</v>
      </c>
      <c r="C1247" s="1" t="s">
        <v>651</v>
      </c>
    </row>
    <row r="1248" spans="2:3" ht="15">
      <c r="B1248" s="1">
        <v>17403</v>
      </c>
      <c r="C1248" s="1" t="s">
        <v>651</v>
      </c>
    </row>
    <row r="1249" spans="2:3" ht="15">
      <c r="B1249" s="1">
        <v>17404</v>
      </c>
      <c r="C1249" s="1" t="s">
        <v>651</v>
      </c>
    </row>
    <row r="1250" spans="2:3" ht="15">
      <c r="B1250" s="1">
        <v>17405</v>
      </c>
      <c r="C1250" s="1" t="s">
        <v>651</v>
      </c>
    </row>
    <row r="1251" spans="2:3" ht="15">
      <c r="B1251" s="1">
        <v>17406</v>
      </c>
      <c r="C1251" s="1" t="s">
        <v>651</v>
      </c>
    </row>
    <row r="1252" spans="2:3" ht="15">
      <c r="B1252" s="1">
        <v>17407</v>
      </c>
      <c r="C1252" s="1" t="s">
        <v>651</v>
      </c>
    </row>
    <row r="1253" spans="2:3" ht="15">
      <c r="B1253" s="1">
        <v>17408</v>
      </c>
      <c r="C1253" s="1" t="s">
        <v>651</v>
      </c>
    </row>
    <row r="1254" spans="2:3" ht="15">
      <c r="B1254" s="1">
        <v>17415</v>
      </c>
      <c r="C1254" s="1" t="s">
        <v>651</v>
      </c>
    </row>
    <row r="1255" spans="2:3" ht="15">
      <c r="B1255" s="1">
        <v>17501</v>
      </c>
      <c r="C1255" s="1" t="s">
        <v>652</v>
      </c>
    </row>
    <row r="1256" spans="2:3" ht="15">
      <c r="B1256" s="1">
        <v>17502</v>
      </c>
      <c r="C1256" s="1" t="s">
        <v>652</v>
      </c>
    </row>
    <row r="1257" spans="2:3" ht="15">
      <c r="B1257" s="1">
        <v>17503</v>
      </c>
      <c r="C1257" s="1" t="s">
        <v>652</v>
      </c>
    </row>
    <row r="1258" spans="2:3" ht="15">
      <c r="B1258" s="1">
        <v>17504</v>
      </c>
      <c r="C1258" s="1" t="s">
        <v>652</v>
      </c>
    </row>
    <row r="1259" spans="2:3" ht="15">
      <c r="B1259" s="1">
        <v>17505</v>
      </c>
      <c r="C1259" s="1" t="s">
        <v>652</v>
      </c>
    </row>
    <row r="1260" spans="2:3" ht="15">
      <c r="B1260" s="1">
        <v>17506</v>
      </c>
      <c r="C1260" s="1" t="s">
        <v>652</v>
      </c>
    </row>
    <row r="1261" spans="2:3" ht="15">
      <c r="B1261" s="1">
        <v>17507</v>
      </c>
      <c r="C1261" s="1" t="s">
        <v>652</v>
      </c>
    </row>
    <row r="1262" spans="2:3" ht="15">
      <c r="B1262" s="1">
        <v>17508</v>
      </c>
      <c r="C1262" s="1" t="s">
        <v>652</v>
      </c>
    </row>
    <row r="1263" spans="2:3" ht="15">
      <c r="B1263" s="1">
        <v>17509</v>
      </c>
      <c r="C1263" s="1" t="s">
        <v>652</v>
      </c>
    </row>
    <row r="1264" spans="2:3" ht="15">
      <c r="B1264" s="1">
        <v>17512</v>
      </c>
      <c r="C1264" s="1" t="s">
        <v>652</v>
      </c>
    </row>
    <row r="1265" spans="2:3" ht="15">
      <c r="B1265" s="1">
        <v>17516</v>
      </c>
      <c r="C1265" s="1" t="s">
        <v>652</v>
      </c>
    </row>
    <row r="1266" spans="2:3" ht="15">
      <c r="B1266" s="1">
        <v>17517</v>
      </c>
      <c r="C1266" s="1" t="s">
        <v>652</v>
      </c>
    </row>
    <row r="1267" spans="2:3" ht="15">
      <c r="B1267" s="1">
        <v>17518</v>
      </c>
      <c r="C1267" s="1" t="s">
        <v>652</v>
      </c>
    </row>
    <row r="1268" spans="2:3" ht="15">
      <c r="B1268" s="1">
        <v>17519</v>
      </c>
      <c r="C1268" s="1" t="s">
        <v>652</v>
      </c>
    </row>
    <row r="1269" spans="2:3" ht="15">
      <c r="B1269" s="1">
        <v>17520</v>
      </c>
      <c r="C1269" s="1" t="s">
        <v>652</v>
      </c>
    </row>
    <row r="1270" spans="2:3" ht="15">
      <c r="B1270" s="1">
        <v>17521</v>
      </c>
      <c r="C1270" s="1" t="s">
        <v>652</v>
      </c>
    </row>
    <row r="1271" spans="2:3" ht="15">
      <c r="B1271" s="1">
        <v>17522</v>
      </c>
      <c r="C1271" s="1" t="s">
        <v>652</v>
      </c>
    </row>
    <row r="1272" spans="2:3" ht="15">
      <c r="B1272" s="1">
        <v>17527</v>
      </c>
      <c r="C1272" s="1" t="s">
        <v>652</v>
      </c>
    </row>
    <row r="1273" spans="2:3" ht="15">
      <c r="B1273" s="1">
        <v>17528</v>
      </c>
      <c r="C1273" s="1" t="s">
        <v>652</v>
      </c>
    </row>
    <row r="1274" spans="2:3" ht="15">
      <c r="B1274" s="1">
        <v>17529</v>
      </c>
      <c r="C1274" s="1" t="s">
        <v>652</v>
      </c>
    </row>
    <row r="1275" spans="2:3" ht="15">
      <c r="B1275" s="1">
        <v>17532</v>
      </c>
      <c r="C1275" s="1" t="s">
        <v>652</v>
      </c>
    </row>
    <row r="1276" spans="2:3" ht="15">
      <c r="B1276" s="1">
        <v>17533</v>
      </c>
      <c r="C1276" s="1" t="s">
        <v>652</v>
      </c>
    </row>
    <row r="1277" spans="2:3" ht="15">
      <c r="B1277" s="1">
        <v>17534</v>
      </c>
      <c r="C1277" s="1" t="s">
        <v>652</v>
      </c>
    </row>
    <row r="1278" spans="2:3" ht="15">
      <c r="B1278" s="1">
        <v>17535</v>
      </c>
      <c r="C1278" s="1" t="s">
        <v>652</v>
      </c>
    </row>
    <row r="1279" spans="2:3" ht="15">
      <c r="B1279" s="1">
        <v>17536</v>
      </c>
      <c r="C1279" s="1" t="s">
        <v>652</v>
      </c>
    </row>
    <row r="1280" spans="2:3" ht="15">
      <c r="B1280" s="1">
        <v>17537</v>
      </c>
      <c r="C1280" s="1" t="s">
        <v>652</v>
      </c>
    </row>
    <row r="1281" spans="2:3" ht="15">
      <c r="B1281" s="1">
        <v>17538</v>
      </c>
      <c r="C1281" s="1" t="s">
        <v>652</v>
      </c>
    </row>
    <row r="1282" spans="2:3" ht="15">
      <c r="B1282" s="1">
        <v>17540</v>
      </c>
      <c r="C1282" s="1" t="s">
        <v>652</v>
      </c>
    </row>
    <row r="1283" spans="2:3" ht="15">
      <c r="B1283" s="1">
        <v>17543</v>
      </c>
      <c r="C1283" s="1" t="s">
        <v>652</v>
      </c>
    </row>
    <row r="1284" spans="2:3" ht="15">
      <c r="B1284" s="1">
        <v>17545</v>
      </c>
      <c r="C1284" s="1" t="s">
        <v>652</v>
      </c>
    </row>
    <row r="1285" spans="2:3" ht="15">
      <c r="B1285" s="1">
        <v>17547</v>
      </c>
      <c r="C1285" s="1" t="s">
        <v>652</v>
      </c>
    </row>
    <row r="1286" spans="2:3" ht="15">
      <c r="B1286" s="1">
        <v>17549</v>
      </c>
      <c r="C1286" s="1" t="s">
        <v>652</v>
      </c>
    </row>
    <row r="1287" spans="2:3" ht="15">
      <c r="B1287" s="1">
        <v>17550</v>
      </c>
      <c r="C1287" s="1" t="s">
        <v>652</v>
      </c>
    </row>
    <row r="1288" spans="2:3" ht="15">
      <c r="B1288" s="1">
        <v>17551</v>
      </c>
      <c r="C1288" s="1" t="s">
        <v>652</v>
      </c>
    </row>
    <row r="1289" spans="2:3" ht="15">
      <c r="B1289" s="1">
        <v>17552</v>
      </c>
      <c r="C1289" s="1" t="s">
        <v>652</v>
      </c>
    </row>
    <row r="1290" spans="2:3" ht="15">
      <c r="B1290" s="1">
        <v>17554</v>
      </c>
      <c r="C1290" s="1" t="s">
        <v>652</v>
      </c>
    </row>
    <row r="1291" spans="2:3" ht="15">
      <c r="B1291" s="1">
        <v>17555</v>
      </c>
      <c r="C1291" s="1" t="s">
        <v>652</v>
      </c>
    </row>
    <row r="1292" spans="2:3" ht="15">
      <c r="B1292" s="1">
        <v>17557</v>
      </c>
      <c r="C1292" s="1" t="s">
        <v>652</v>
      </c>
    </row>
    <row r="1293" spans="2:3" ht="15">
      <c r="B1293" s="1">
        <v>17560</v>
      </c>
      <c r="C1293" s="1" t="s">
        <v>652</v>
      </c>
    </row>
    <row r="1294" spans="2:3" ht="15">
      <c r="B1294" s="1">
        <v>17562</v>
      </c>
      <c r="C1294" s="1" t="s">
        <v>652</v>
      </c>
    </row>
    <row r="1295" spans="2:3" ht="15">
      <c r="B1295" s="1">
        <v>17563</v>
      </c>
      <c r="C1295" s="1" t="s">
        <v>652</v>
      </c>
    </row>
    <row r="1296" spans="2:3" ht="15">
      <c r="B1296" s="1">
        <v>17564</v>
      </c>
      <c r="C1296" s="1" t="s">
        <v>652</v>
      </c>
    </row>
    <row r="1297" spans="2:3" ht="15">
      <c r="B1297" s="1">
        <v>17565</v>
      </c>
      <c r="C1297" s="1" t="s">
        <v>652</v>
      </c>
    </row>
    <row r="1298" spans="2:3" ht="15">
      <c r="B1298" s="1">
        <v>17566</v>
      </c>
      <c r="C1298" s="1" t="s">
        <v>652</v>
      </c>
    </row>
    <row r="1299" spans="2:3" ht="15">
      <c r="B1299" s="1">
        <v>17567</v>
      </c>
      <c r="C1299" s="1" t="s">
        <v>652</v>
      </c>
    </row>
    <row r="1300" spans="2:3" ht="15">
      <c r="B1300" s="1">
        <v>17568</v>
      </c>
      <c r="C1300" s="1" t="s">
        <v>652</v>
      </c>
    </row>
    <row r="1301" spans="2:3" ht="15">
      <c r="B1301" s="1">
        <v>17569</v>
      </c>
      <c r="C1301" s="1" t="s">
        <v>652</v>
      </c>
    </row>
    <row r="1302" spans="2:3" ht="15">
      <c r="B1302" s="1">
        <v>17570</v>
      </c>
      <c r="C1302" s="1" t="s">
        <v>652</v>
      </c>
    </row>
    <row r="1303" spans="2:3" ht="15">
      <c r="B1303" s="1">
        <v>17572</v>
      </c>
      <c r="C1303" s="1" t="s">
        <v>652</v>
      </c>
    </row>
    <row r="1304" spans="2:3" ht="15">
      <c r="B1304" s="1">
        <v>17573</v>
      </c>
      <c r="C1304" s="1" t="s">
        <v>652</v>
      </c>
    </row>
    <row r="1305" spans="2:3" ht="15">
      <c r="B1305" s="1">
        <v>17575</v>
      </c>
      <c r="C1305" s="1" t="s">
        <v>652</v>
      </c>
    </row>
    <row r="1306" spans="2:3" ht="15">
      <c r="B1306" s="1">
        <v>17576</v>
      </c>
      <c r="C1306" s="1" t="s">
        <v>652</v>
      </c>
    </row>
    <row r="1307" spans="2:3" ht="15">
      <c r="B1307" s="1">
        <v>17577</v>
      </c>
      <c r="C1307" s="1" t="s">
        <v>652</v>
      </c>
    </row>
    <row r="1308" spans="2:3" ht="15">
      <c r="B1308" s="1">
        <v>17578</v>
      </c>
      <c r="C1308" s="1" t="s">
        <v>652</v>
      </c>
    </row>
    <row r="1309" spans="2:3" ht="15">
      <c r="B1309" s="1">
        <v>17579</v>
      </c>
      <c r="C1309" s="1" t="s">
        <v>652</v>
      </c>
    </row>
    <row r="1310" spans="2:3" ht="15">
      <c r="B1310" s="1">
        <v>17580</v>
      </c>
      <c r="C1310" s="1" t="s">
        <v>652</v>
      </c>
    </row>
    <row r="1311" spans="2:3" ht="15">
      <c r="B1311" s="1">
        <v>17581</v>
      </c>
      <c r="C1311" s="1" t="s">
        <v>652</v>
      </c>
    </row>
    <row r="1312" spans="2:3" ht="15">
      <c r="B1312" s="1">
        <v>17582</v>
      </c>
      <c r="C1312" s="1" t="s">
        <v>652</v>
      </c>
    </row>
    <row r="1313" spans="2:3" ht="15">
      <c r="B1313" s="1">
        <v>17583</v>
      </c>
      <c r="C1313" s="1" t="s">
        <v>652</v>
      </c>
    </row>
    <row r="1314" spans="2:3" ht="15">
      <c r="B1314" s="1">
        <v>17584</v>
      </c>
      <c r="C1314" s="1" t="s">
        <v>652</v>
      </c>
    </row>
    <row r="1315" spans="2:3" ht="15">
      <c r="B1315" s="1">
        <v>17585</v>
      </c>
      <c r="C1315" s="1" t="s">
        <v>652</v>
      </c>
    </row>
    <row r="1316" spans="2:3" ht="15">
      <c r="B1316" s="1">
        <v>17601</v>
      </c>
      <c r="C1316" s="1" t="s">
        <v>652</v>
      </c>
    </row>
    <row r="1317" spans="2:3" ht="15">
      <c r="B1317" s="1">
        <v>17602</v>
      </c>
      <c r="C1317" s="1" t="s">
        <v>652</v>
      </c>
    </row>
    <row r="1318" spans="2:3" ht="15">
      <c r="B1318" s="1">
        <v>17603</v>
      </c>
      <c r="C1318" s="1" t="s">
        <v>652</v>
      </c>
    </row>
    <row r="1319" spans="2:3" ht="15">
      <c r="B1319" s="1">
        <v>17604</v>
      </c>
      <c r="C1319" s="1" t="s">
        <v>652</v>
      </c>
    </row>
    <row r="1320" spans="2:3" ht="15">
      <c r="B1320" s="1">
        <v>17605</v>
      </c>
      <c r="C1320" s="1" t="s">
        <v>652</v>
      </c>
    </row>
    <row r="1321" spans="2:3" ht="15">
      <c r="B1321" s="1">
        <v>17606</v>
      </c>
      <c r="C1321" s="1" t="s">
        <v>652</v>
      </c>
    </row>
    <row r="1322" spans="2:3" ht="15">
      <c r="B1322" s="1">
        <v>17607</v>
      </c>
      <c r="C1322" s="1" t="s">
        <v>652</v>
      </c>
    </row>
    <row r="1323" spans="2:3" ht="15">
      <c r="B1323" s="1">
        <v>17608</v>
      </c>
      <c r="C1323" s="1" t="s">
        <v>652</v>
      </c>
    </row>
    <row r="1324" spans="2:3" ht="15">
      <c r="B1324" s="1">
        <v>17611</v>
      </c>
      <c r="C1324" s="1" t="s">
        <v>652</v>
      </c>
    </row>
    <row r="1325" spans="2:3" ht="15">
      <c r="B1325" s="1">
        <v>17622</v>
      </c>
      <c r="C1325" s="1" t="s">
        <v>652</v>
      </c>
    </row>
    <row r="1326" spans="2:3" ht="15">
      <c r="B1326" s="1">
        <v>17699</v>
      </c>
      <c r="C1326" s="1" t="s">
        <v>652</v>
      </c>
    </row>
    <row r="1327" spans="2:3" ht="15">
      <c r="B1327" s="1">
        <v>17701</v>
      </c>
      <c r="C1327" s="1" t="s">
        <v>655</v>
      </c>
    </row>
    <row r="1328" spans="2:3" ht="15">
      <c r="B1328" s="1">
        <v>17702</v>
      </c>
      <c r="C1328" s="1" t="s">
        <v>655</v>
      </c>
    </row>
    <row r="1329" spans="2:3" ht="15">
      <c r="B1329" s="1">
        <v>17703</v>
      </c>
      <c r="C1329" s="1" t="s">
        <v>655</v>
      </c>
    </row>
    <row r="1330" spans="2:3" ht="15">
      <c r="B1330" s="1">
        <v>17705</v>
      </c>
      <c r="C1330" s="1" t="s">
        <v>655</v>
      </c>
    </row>
    <row r="1331" spans="2:3" ht="15">
      <c r="B1331" s="1">
        <v>17720</v>
      </c>
      <c r="C1331" s="1" t="s">
        <v>655</v>
      </c>
    </row>
    <row r="1332" spans="2:3" ht="15">
      <c r="B1332" s="1">
        <v>17721</v>
      </c>
      <c r="C1332" s="1" t="s">
        <v>655</v>
      </c>
    </row>
    <row r="1333" spans="2:3" ht="15">
      <c r="B1333" s="1">
        <v>17722</v>
      </c>
      <c r="C1333" s="1" t="s">
        <v>655</v>
      </c>
    </row>
    <row r="1334" spans="2:3" ht="15">
      <c r="B1334" s="1">
        <v>17723</v>
      </c>
      <c r="C1334" s="1" t="s">
        <v>655</v>
      </c>
    </row>
    <row r="1335" spans="2:3" ht="15">
      <c r="B1335" s="1">
        <v>17724</v>
      </c>
      <c r="C1335" s="1" t="s">
        <v>654</v>
      </c>
    </row>
    <row r="1336" spans="2:3" ht="15">
      <c r="B1336" s="1">
        <v>17726</v>
      </c>
      <c r="C1336" s="1" t="s">
        <v>655</v>
      </c>
    </row>
    <row r="1337" spans="2:3" ht="15">
      <c r="B1337" s="1">
        <v>17727</v>
      </c>
      <c r="C1337" s="1" t="s">
        <v>655</v>
      </c>
    </row>
    <row r="1338" spans="2:3" ht="15">
      <c r="B1338" s="1">
        <v>17728</v>
      </c>
      <c r="C1338" s="1" t="s">
        <v>655</v>
      </c>
    </row>
    <row r="1339" spans="2:3" ht="15">
      <c r="B1339" s="1">
        <v>17729</v>
      </c>
      <c r="C1339" s="1" t="s">
        <v>655</v>
      </c>
    </row>
    <row r="1340" spans="2:3" ht="15">
      <c r="B1340" s="1">
        <v>17730</v>
      </c>
      <c r="C1340" s="1" t="s">
        <v>655</v>
      </c>
    </row>
    <row r="1341" spans="2:3" ht="15">
      <c r="B1341" s="1">
        <v>17731</v>
      </c>
      <c r="C1341" s="1" t="s">
        <v>654</v>
      </c>
    </row>
    <row r="1342" spans="2:3" ht="15">
      <c r="B1342" s="1">
        <v>17735</v>
      </c>
      <c r="C1342" s="1" t="s">
        <v>654</v>
      </c>
    </row>
    <row r="1343" spans="2:3" ht="15">
      <c r="B1343" s="1">
        <v>17737</v>
      </c>
      <c r="C1343" s="1" t="s">
        <v>655</v>
      </c>
    </row>
    <row r="1344" spans="2:3" ht="15">
      <c r="B1344" s="1">
        <v>17738</v>
      </c>
      <c r="C1344" s="1" t="s">
        <v>655</v>
      </c>
    </row>
    <row r="1345" spans="2:3" ht="15">
      <c r="B1345" s="1">
        <v>17739</v>
      </c>
      <c r="C1345" s="1" t="s">
        <v>655</v>
      </c>
    </row>
    <row r="1346" spans="2:3" ht="15">
      <c r="B1346" s="1">
        <v>17740</v>
      </c>
      <c r="C1346" s="1" t="s">
        <v>655</v>
      </c>
    </row>
    <row r="1347" spans="2:3" ht="15">
      <c r="B1347" s="1">
        <v>17742</v>
      </c>
      <c r="C1347" s="1" t="s">
        <v>655</v>
      </c>
    </row>
    <row r="1348" spans="2:3" ht="15">
      <c r="B1348" s="1">
        <v>17744</v>
      </c>
      <c r="C1348" s="1" t="s">
        <v>655</v>
      </c>
    </row>
    <row r="1349" spans="2:3" ht="15">
      <c r="B1349" s="1">
        <v>17745</v>
      </c>
      <c r="C1349" s="1" t="s">
        <v>655</v>
      </c>
    </row>
    <row r="1350" spans="2:3" ht="15">
      <c r="B1350" s="1">
        <v>17747</v>
      </c>
      <c r="C1350" s="1" t="s">
        <v>655</v>
      </c>
    </row>
    <row r="1351" spans="2:3" ht="15">
      <c r="B1351" s="1">
        <v>17748</v>
      </c>
      <c r="C1351" s="1" t="s">
        <v>655</v>
      </c>
    </row>
    <row r="1352" spans="2:3" ht="15">
      <c r="B1352" s="1">
        <v>17749</v>
      </c>
      <c r="C1352" s="1" t="s">
        <v>655</v>
      </c>
    </row>
    <row r="1353" spans="2:3" ht="15">
      <c r="B1353" s="1">
        <v>17750</v>
      </c>
      <c r="C1353" s="1" t="s">
        <v>655</v>
      </c>
    </row>
    <row r="1354" spans="2:3" ht="15">
      <c r="B1354" s="1">
        <v>17751</v>
      </c>
      <c r="C1354" s="1" t="s">
        <v>655</v>
      </c>
    </row>
    <row r="1355" spans="2:3" ht="15">
      <c r="B1355" s="1">
        <v>17752</v>
      </c>
      <c r="C1355" s="1" t="s">
        <v>655</v>
      </c>
    </row>
    <row r="1356" spans="2:3" ht="15">
      <c r="B1356" s="1">
        <v>17754</v>
      </c>
      <c r="C1356" s="1" t="s">
        <v>655</v>
      </c>
    </row>
    <row r="1357" spans="2:3" ht="15">
      <c r="B1357" s="1">
        <v>17756</v>
      </c>
      <c r="C1357" s="1" t="s">
        <v>655</v>
      </c>
    </row>
    <row r="1358" spans="2:3" ht="15">
      <c r="B1358" s="1">
        <v>17758</v>
      </c>
      <c r="C1358" s="1" t="s">
        <v>654</v>
      </c>
    </row>
    <row r="1359" spans="2:3" ht="15">
      <c r="B1359" s="1">
        <v>17759</v>
      </c>
      <c r="C1359" s="1" t="s">
        <v>655</v>
      </c>
    </row>
    <row r="1360" spans="2:3" ht="15">
      <c r="B1360" s="1">
        <v>17760</v>
      </c>
      <c r="C1360" s="1" t="s">
        <v>655</v>
      </c>
    </row>
    <row r="1361" spans="2:3" ht="15">
      <c r="B1361" s="1">
        <v>17762</v>
      </c>
      <c r="C1361" s="1" t="s">
        <v>655</v>
      </c>
    </row>
    <row r="1362" spans="2:3" ht="15">
      <c r="B1362" s="1">
        <v>17763</v>
      </c>
      <c r="C1362" s="1" t="s">
        <v>655</v>
      </c>
    </row>
    <row r="1363" spans="2:3" ht="15">
      <c r="B1363" s="1">
        <v>17764</v>
      </c>
      <c r="C1363" s="1" t="s">
        <v>655</v>
      </c>
    </row>
    <row r="1364" spans="2:3" ht="15">
      <c r="B1364" s="1">
        <v>17765</v>
      </c>
      <c r="C1364" s="1" t="s">
        <v>649</v>
      </c>
    </row>
    <row r="1365" spans="2:3" ht="15">
      <c r="B1365" s="1">
        <v>17767</v>
      </c>
      <c r="C1365" s="1" t="s">
        <v>655</v>
      </c>
    </row>
    <row r="1366" spans="2:3" ht="15">
      <c r="B1366" s="1">
        <v>17768</v>
      </c>
      <c r="C1366" s="1" t="s">
        <v>654</v>
      </c>
    </row>
    <row r="1367" spans="2:3" ht="15">
      <c r="B1367" s="1">
        <v>17769</v>
      </c>
      <c r="C1367" s="1" t="s">
        <v>655</v>
      </c>
    </row>
    <row r="1368" spans="2:3" ht="15">
      <c r="B1368" s="1">
        <v>17771</v>
      </c>
      <c r="C1368" s="1" t="s">
        <v>655</v>
      </c>
    </row>
    <row r="1369" spans="2:3" ht="15">
      <c r="B1369" s="1">
        <v>17772</v>
      </c>
      <c r="C1369" s="1" t="s">
        <v>655</v>
      </c>
    </row>
    <row r="1370" spans="2:3" ht="15">
      <c r="B1370" s="1">
        <v>17773</v>
      </c>
      <c r="C1370" s="1" t="s">
        <v>655</v>
      </c>
    </row>
    <row r="1371" spans="2:3" ht="15">
      <c r="B1371" s="1">
        <v>17774</v>
      </c>
      <c r="C1371" s="1" t="s">
        <v>655</v>
      </c>
    </row>
    <row r="1372" spans="2:3" ht="15">
      <c r="B1372" s="1">
        <v>17776</v>
      </c>
      <c r="C1372" s="1" t="s">
        <v>655</v>
      </c>
    </row>
    <row r="1373" spans="2:3" ht="15">
      <c r="B1373" s="1">
        <v>17777</v>
      </c>
      <c r="C1373" s="1" t="s">
        <v>655</v>
      </c>
    </row>
    <row r="1374" spans="2:3" ht="15">
      <c r="B1374" s="1">
        <v>17778</v>
      </c>
      <c r="C1374" s="1" t="s">
        <v>655</v>
      </c>
    </row>
    <row r="1375" spans="2:3" ht="15">
      <c r="B1375" s="1">
        <v>17779</v>
      </c>
      <c r="C1375" s="1" t="s">
        <v>655</v>
      </c>
    </row>
    <row r="1376" spans="2:3" ht="15">
      <c r="B1376" s="1">
        <v>17801</v>
      </c>
      <c r="C1376" s="1" t="s">
        <v>655</v>
      </c>
    </row>
    <row r="1377" spans="2:3" ht="15">
      <c r="B1377" s="1">
        <v>17810</v>
      </c>
      <c r="C1377" s="1" t="s">
        <v>655</v>
      </c>
    </row>
    <row r="1378" spans="2:3" ht="15">
      <c r="B1378" s="1">
        <v>17812</v>
      </c>
      <c r="C1378" s="1" t="s">
        <v>655</v>
      </c>
    </row>
    <row r="1379" spans="2:3" ht="15">
      <c r="B1379" s="1">
        <v>17813</v>
      </c>
      <c r="C1379" s="1" t="s">
        <v>655</v>
      </c>
    </row>
    <row r="1380" spans="2:3" ht="15">
      <c r="B1380" s="1">
        <v>17814</v>
      </c>
      <c r="C1380" s="1" t="s">
        <v>655</v>
      </c>
    </row>
    <row r="1381" spans="2:3" ht="15">
      <c r="B1381" s="1">
        <v>17815</v>
      </c>
      <c r="C1381" s="1" t="s">
        <v>655</v>
      </c>
    </row>
    <row r="1382" spans="2:3" ht="15">
      <c r="B1382" s="1">
        <v>17820</v>
      </c>
      <c r="C1382" s="1" t="s">
        <v>655</v>
      </c>
    </row>
    <row r="1383" spans="2:3" ht="15">
      <c r="B1383" s="1">
        <v>17821</v>
      </c>
      <c r="C1383" s="1" t="s">
        <v>655</v>
      </c>
    </row>
    <row r="1384" spans="2:3" ht="15">
      <c r="B1384" s="1">
        <v>17822</v>
      </c>
      <c r="C1384" s="1" t="s">
        <v>655</v>
      </c>
    </row>
    <row r="1385" spans="2:3" ht="15">
      <c r="B1385" s="1">
        <v>17823</v>
      </c>
      <c r="C1385" s="1" t="s">
        <v>655</v>
      </c>
    </row>
    <row r="1386" spans="2:3" ht="15">
      <c r="B1386" s="1">
        <v>17824</v>
      </c>
      <c r="C1386" s="1" t="s">
        <v>655</v>
      </c>
    </row>
    <row r="1387" spans="2:3" ht="15">
      <c r="B1387" s="1">
        <v>17827</v>
      </c>
      <c r="C1387" s="1" t="s">
        <v>655</v>
      </c>
    </row>
    <row r="1388" spans="2:3" ht="15">
      <c r="B1388" s="1">
        <v>17829</v>
      </c>
      <c r="C1388" s="1" t="s">
        <v>655</v>
      </c>
    </row>
    <row r="1389" spans="2:3" ht="15">
      <c r="B1389" s="1">
        <v>17830</v>
      </c>
      <c r="C1389" s="1" t="s">
        <v>655</v>
      </c>
    </row>
    <row r="1390" spans="2:3" ht="15">
      <c r="B1390" s="1">
        <v>17831</v>
      </c>
      <c r="C1390" s="1" t="s">
        <v>655</v>
      </c>
    </row>
    <row r="1391" spans="2:3" ht="15">
      <c r="B1391" s="1">
        <v>17832</v>
      </c>
      <c r="C1391" s="1" t="s">
        <v>655</v>
      </c>
    </row>
    <row r="1392" spans="2:3" ht="15">
      <c r="B1392" s="1">
        <v>17833</v>
      </c>
      <c r="C1392" s="1" t="s">
        <v>655</v>
      </c>
    </row>
    <row r="1393" spans="2:3" ht="15">
      <c r="B1393" s="1">
        <v>17834</v>
      </c>
      <c r="C1393" s="1" t="s">
        <v>655</v>
      </c>
    </row>
    <row r="1394" spans="2:3" ht="15">
      <c r="B1394" s="1">
        <v>17835</v>
      </c>
      <c r="C1394" s="1" t="s">
        <v>655</v>
      </c>
    </row>
    <row r="1395" spans="2:3" ht="15">
      <c r="B1395" s="1">
        <v>17836</v>
      </c>
      <c r="C1395" s="1" t="s">
        <v>655</v>
      </c>
    </row>
    <row r="1396" spans="2:3" ht="15">
      <c r="B1396" s="1">
        <v>17837</v>
      </c>
      <c r="C1396" s="1" t="s">
        <v>655</v>
      </c>
    </row>
    <row r="1397" spans="2:3" ht="15">
      <c r="B1397" s="1">
        <v>17839</v>
      </c>
      <c r="C1397" s="1" t="s">
        <v>655</v>
      </c>
    </row>
    <row r="1398" spans="2:3" ht="15">
      <c r="B1398" s="1">
        <v>17840</v>
      </c>
      <c r="C1398" s="1" t="s">
        <v>655</v>
      </c>
    </row>
    <row r="1399" spans="2:3" ht="15">
      <c r="B1399" s="1">
        <v>17841</v>
      </c>
      <c r="C1399" s="1" t="s">
        <v>655</v>
      </c>
    </row>
    <row r="1400" spans="2:3" ht="15">
      <c r="B1400" s="1">
        <v>17842</v>
      </c>
      <c r="C1400" s="1" t="s">
        <v>655</v>
      </c>
    </row>
    <row r="1401" spans="2:3" ht="15">
      <c r="B1401" s="1">
        <v>17843</v>
      </c>
      <c r="C1401" s="1" t="s">
        <v>655</v>
      </c>
    </row>
    <row r="1402" spans="2:3" ht="15">
      <c r="B1402" s="1">
        <v>17844</v>
      </c>
      <c r="C1402" s="1" t="s">
        <v>655</v>
      </c>
    </row>
    <row r="1403" spans="2:3" ht="15">
      <c r="B1403" s="1">
        <v>17845</v>
      </c>
      <c r="C1403" s="1" t="s">
        <v>655</v>
      </c>
    </row>
    <row r="1404" spans="2:3" ht="15">
      <c r="B1404" s="1">
        <v>17846</v>
      </c>
      <c r="C1404" s="1" t="s">
        <v>655</v>
      </c>
    </row>
    <row r="1405" spans="2:3" ht="15">
      <c r="B1405" s="1">
        <v>17847</v>
      </c>
      <c r="C1405" s="1" t="s">
        <v>655</v>
      </c>
    </row>
    <row r="1406" spans="2:3" ht="15">
      <c r="B1406" s="1">
        <v>17850</v>
      </c>
      <c r="C1406" s="1" t="s">
        <v>655</v>
      </c>
    </row>
    <row r="1407" spans="2:3" ht="15">
      <c r="B1407" s="1">
        <v>17851</v>
      </c>
      <c r="C1407" s="1" t="s">
        <v>655</v>
      </c>
    </row>
    <row r="1408" spans="2:3" ht="15">
      <c r="B1408" s="1">
        <v>17853</v>
      </c>
      <c r="C1408" s="1" t="s">
        <v>655</v>
      </c>
    </row>
    <row r="1409" spans="2:3" ht="15">
      <c r="B1409" s="1">
        <v>17855</v>
      </c>
      <c r="C1409" s="1" t="s">
        <v>655</v>
      </c>
    </row>
    <row r="1410" spans="2:3" ht="15">
      <c r="B1410" s="1">
        <v>17856</v>
      </c>
      <c r="C1410" s="1" t="s">
        <v>655</v>
      </c>
    </row>
    <row r="1411" spans="2:3" ht="15">
      <c r="B1411" s="1">
        <v>17857</v>
      </c>
      <c r="C1411" s="1" t="s">
        <v>655</v>
      </c>
    </row>
    <row r="1412" spans="2:3" ht="15">
      <c r="B1412" s="1">
        <v>17858</v>
      </c>
      <c r="C1412" s="1" t="s">
        <v>655</v>
      </c>
    </row>
    <row r="1413" spans="2:3" ht="15">
      <c r="B1413" s="1">
        <v>17859</v>
      </c>
      <c r="C1413" s="1" t="s">
        <v>655</v>
      </c>
    </row>
    <row r="1414" spans="2:3" ht="15">
      <c r="B1414" s="1">
        <v>17860</v>
      </c>
      <c r="C1414" s="1" t="s">
        <v>655</v>
      </c>
    </row>
    <row r="1415" spans="2:3" ht="15">
      <c r="B1415" s="1">
        <v>17861</v>
      </c>
      <c r="C1415" s="1" t="s">
        <v>655</v>
      </c>
    </row>
    <row r="1416" spans="2:3" ht="15">
      <c r="B1416" s="1">
        <v>17862</v>
      </c>
      <c r="C1416" s="1" t="s">
        <v>655</v>
      </c>
    </row>
    <row r="1417" spans="2:3" ht="15">
      <c r="B1417" s="1">
        <v>17864</v>
      </c>
      <c r="C1417" s="1" t="s">
        <v>655</v>
      </c>
    </row>
    <row r="1418" spans="2:3" ht="15">
      <c r="B1418" s="1">
        <v>17865</v>
      </c>
      <c r="C1418" s="1" t="s">
        <v>655</v>
      </c>
    </row>
    <row r="1419" spans="2:3" ht="15">
      <c r="B1419" s="1">
        <v>17866</v>
      </c>
      <c r="C1419" s="1" t="s">
        <v>655</v>
      </c>
    </row>
    <row r="1420" spans="2:3" ht="15">
      <c r="B1420" s="1">
        <v>17867</v>
      </c>
      <c r="C1420" s="1" t="s">
        <v>655</v>
      </c>
    </row>
    <row r="1421" spans="2:3" ht="15">
      <c r="B1421" s="1">
        <v>17868</v>
      </c>
      <c r="C1421" s="1" t="s">
        <v>655</v>
      </c>
    </row>
    <row r="1422" spans="2:3" ht="15">
      <c r="B1422" s="1">
        <v>17870</v>
      </c>
      <c r="C1422" s="1" t="s">
        <v>655</v>
      </c>
    </row>
    <row r="1423" spans="2:3" ht="15">
      <c r="B1423" s="1">
        <v>17872</v>
      </c>
      <c r="C1423" s="1" t="s">
        <v>655</v>
      </c>
    </row>
    <row r="1424" spans="2:3" ht="15">
      <c r="B1424" s="1">
        <v>17876</v>
      </c>
      <c r="C1424" s="1" t="s">
        <v>655</v>
      </c>
    </row>
    <row r="1425" spans="2:3" ht="15">
      <c r="B1425" s="1">
        <v>17877</v>
      </c>
      <c r="C1425" s="1" t="s">
        <v>655</v>
      </c>
    </row>
    <row r="1426" spans="2:3" ht="15">
      <c r="B1426" s="1">
        <v>17878</v>
      </c>
      <c r="C1426" s="1" t="s">
        <v>655</v>
      </c>
    </row>
    <row r="1427" spans="2:3" ht="15">
      <c r="B1427" s="1">
        <v>17880</v>
      </c>
      <c r="C1427" s="1" t="s">
        <v>655</v>
      </c>
    </row>
    <row r="1428" spans="2:3" ht="15">
      <c r="B1428" s="1">
        <v>17881</v>
      </c>
      <c r="C1428" s="1" t="s">
        <v>655</v>
      </c>
    </row>
    <row r="1429" spans="2:3" ht="15">
      <c r="B1429" s="1">
        <v>17882</v>
      </c>
      <c r="C1429" s="1" t="s">
        <v>655</v>
      </c>
    </row>
    <row r="1430" spans="2:3" ht="15">
      <c r="B1430" s="1">
        <v>17883</v>
      </c>
      <c r="C1430" s="1" t="s">
        <v>655</v>
      </c>
    </row>
    <row r="1431" spans="2:3" ht="15">
      <c r="B1431" s="1">
        <v>17884</v>
      </c>
      <c r="C1431" s="1" t="s">
        <v>655</v>
      </c>
    </row>
    <row r="1432" spans="2:3" ht="15">
      <c r="B1432" s="1">
        <v>17885</v>
      </c>
      <c r="C1432" s="1" t="s">
        <v>655</v>
      </c>
    </row>
    <row r="1433" spans="2:3" ht="15">
      <c r="B1433" s="1">
        <v>17886</v>
      </c>
      <c r="C1433" s="1" t="s">
        <v>655</v>
      </c>
    </row>
    <row r="1434" spans="2:3" ht="15">
      <c r="B1434" s="1">
        <v>17887</v>
      </c>
      <c r="C1434" s="1" t="s">
        <v>655</v>
      </c>
    </row>
    <row r="1435" spans="2:3" ht="15">
      <c r="B1435" s="1">
        <v>17888</v>
      </c>
      <c r="C1435" s="1" t="s">
        <v>655</v>
      </c>
    </row>
    <row r="1436" spans="2:3" ht="15">
      <c r="B1436" s="1">
        <v>17889</v>
      </c>
      <c r="C1436" s="1" t="s">
        <v>655</v>
      </c>
    </row>
    <row r="1437" spans="2:3" ht="15">
      <c r="B1437" s="1">
        <v>17901</v>
      </c>
      <c r="C1437" s="1" t="s">
        <v>647</v>
      </c>
    </row>
    <row r="1438" spans="2:3" ht="15">
      <c r="B1438" s="1">
        <v>17920</v>
      </c>
      <c r="C1438" s="1" t="s">
        <v>655</v>
      </c>
    </row>
    <row r="1439" spans="2:3" ht="15">
      <c r="B1439" s="1">
        <v>17921</v>
      </c>
      <c r="C1439" s="1" t="s">
        <v>647</v>
      </c>
    </row>
    <row r="1440" spans="2:3" ht="15">
      <c r="B1440" s="1">
        <v>17922</v>
      </c>
      <c r="C1440" s="1" t="s">
        <v>647</v>
      </c>
    </row>
    <row r="1441" spans="2:3" ht="15">
      <c r="B1441" s="1">
        <v>17923</v>
      </c>
      <c r="C1441" s="1" t="s">
        <v>647</v>
      </c>
    </row>
    <row r="1442" spans="2:3" ht="15">
      <c r="B1442" s="1">
        <v>17925</v>
      </c>
      <c r="C1442" s="1" t="s">
        <v>647</v>
      </c>
    </row>
    <row r="1443" spans="2:3" ht="15">
      <c r="B1443" s="1">
        <v>17929</v>
      </c>
      <c r="C1443" s="1" t="s">
        <v>647</v>
      </c>
    </row>
    <row r="1444" spans="2:3" ht="15">
      <c r="B1444" s="1">
        <v>17930</v>
      </c>
      <c r="C1444" s="1" t="s">
        <v>647</v>
      </c>
    </row>
    <row r="1445" spans="2:3" ht="15">
      <c r="B1445" s="1">
        <v>17931</v>
      </c>
      <c r="C1445" s="1" t="s">
        <v>647</v>
      </c>
    </row>
    <row r="1446" spans="2:3" ht="15">
      <c r="B1446" s="1">
        <v>17932</v>
      </c>
      <c r="C1446" s="1" t="s">
        <v>647</v>
      </c>
    </row>
    <row r="1447" spans="2:3" ht="15">
      <c r="B1447" s="1">
        <v>17933</v>
      </c>
      <c r="C1447" s="1" t="s">
        <v>647</v>
      </c>
    </row>
    <row r="1448" spans="2:3" ht="15">
      <c r="B1448" s="1">
        <v>17934</v>
      </c>
      <c r="C1448" s="1" t="s">
        <v>647</v>
      </c>
    </row>
    <row r="1449" spans="2:3" ht="15">
      <c r="B1449" s="1">
        <v>17935</v>
      </c>
      <c r="C1449" s="1" t="s">
        <v>647</v>
      </c>
    </row>
    <row r="1450" spans="2:3" ht="15">
      <c r="B1450" s="1">
        <v>17936</v>
      </c>
      <c r="C1450" s="1" t="s">
        <v>647</v>
      </c>
    </row>
    <row r="1451" spans="2:3" ht="15">
      <c r="B1451" s="1">
        <v>17938</v>
      </c>
      <c r="C1451" s="1" t="s">
        <v>647</v>
      </c>
    </row>
    <row r="1452" spans="2:3" ht="15">
      <c r="B1452" s="1">
        <v>17941</v>
      </c>
      <c r="C1452" s="1" t="s">
        <v>647</v>
      </c>
    </row>
    <row r="1453" spans="2:3" ht="15">
      <c r="B1453" s="1">
        <v>17942</v>
      </c>
      <c r="C1453" s="1" t="s">
        <v>647</v>
      </c>
    </row>
    <row r="1454" spans="2:3" ht="15">
      <c r="B1454" s="1">
        <v>17943</v>
      </c>
      <c r="C1454" s="1" t="s">
        <v>647</v>
      </c>
    </row>
    <row r="1455" spans="2:3" ht="15">
      <c r="B1455" s="1">
        <v>17944</v>
      </c>
      <c r="C1455" s="1" t="s">
        <v>647</v>
      </c>
    </row>
    <row r="1456" spans="2:3" ht="15">
      <c r="B1456" s="1">
        <v>17945</v>
      </c>
      <c r="C1456" s="1" t="s">
        <v>655</v>
      </c>
    </row>
    <row r="1457" spans="2:3" ht="15">
      <c r="B1457" s="1">
        <v>17946</v>
      </c>
      <c r="C1457" s="1" t="s">
        <v>647</v>
      </c>
    </row>
    <row r="1458" spans="2:3" ht="15">
      <c r="B1458" s="1">
        <v>17948</v>
      </c>
      <c r="C1458" s="1" t="s">
        <v>647</v>
      </c>
    </row>
    <row r="1459" spans="2:3" ht="15">
      <c r="B1459" s="1">
        <v>17949</v>
      </c>
      <c r="C1459" s="1" t="s">
        <v>647</v>
      </c>
    </row>
    <row r="1460" spans="2:3" ht="15">
      <c r="B1460" s="1">
        <v>17951</v>
      </c>
      <c r="C1460" s="1" t="s">
        <v>647</v>
      </c>
    </row>
    <row r="1461" spans="2:3" ht="15">
      <c r="B1461" s="1">
        <v>17952</v>
      </c>
      <c r="C1461" s="1" t="s">
        <v>647</v>
      </c>
    </row>
    <row r="1462" spans="2:3" ht="15">
      <c r="B1462" s="1">
        <v>17953</v>
      </c>
      <c r="C1462" s="1" t="s">
        <v>647</v>
      </c>
    </row>
    <row r="1463" spans="2:3" ht="15">
      <c r="B1463" s="1">
        <v>17954</v>
      </c>
      <c r="C1463" s="1" t="s">
        <v>647</v>
      </c>
    </row>
    <row r="1464" spans="2:3" ht="15">
      <c r="B1464" s="1">
        <v>17957</v>
      </c>
      <c r="C1464" s="1" t="s">
        <v>647</v>
      </c>
    </row>
    <row r="1465" spans="2:3" ht="15">
      <c r="B1465" s="1">
        <v>17959</v>
      </c>
      <c r="C1465" s="1" t="s">
        <v>647</v>
      </c>
    </row>
    <row r="1466" spans="2:3" ht="15">
      <c r="B1466" s="1">
        <v>17960</v>
      </c>
      <c r="C1466" s="1" t="s">
        <v>647</v>
      </c>
    </row>
    <row r="1467" spans="2:3" ht="15">
      <c r="B1467" s="1">
        <v>17961</v>
      </c>
      <c r="C1467" s="1" t="s">
        <v>647</v>
      </c>
    </row>
    <row r="1468" spans="2:3" ht="15">
      <c r="B1468" s="1">
        <v>17963</v>
      </c>
      <c r="C1468" s="1" t="s">
        <v>647</v>
      </c>
    </row>
    <row r="1469" spans="2:3" ht="15">
      <c r="B1469" s="1">
        <v>17964</v>
      </c>
      <c r="C1469" s="1" t="s">
        <v>647</v>
      </c>
    </row>
    <row r="1470" spans="2:3" ht="15">
      <c r="B1470" s="1">
        <v>17965</v>
      </c>
      <c r="C1470" s="1" t="s">
        <v>647</v>
      </c>
    </row>
    <row r="1471" spans="2:3" ht="15">
      <c r="B1471" s="1">
        <v>17966</v>
      </c>
      <c r="C1471" s="1" t="s">
        <v>647</v>
      </c>
    </row>
    <row r="1472" spans="2:3" ht="15">
      <c r="B1472" s="1">
        <v>17967</v>
      </c>
      <c r="C1472" s="1" t="s">
        <v>647</v>
      </c>
    </row>
    <row r="1473" spans="2:3" ht="15">
      <c r="B1473" s="1">
        <v>17968</v>
      </c>
      <c r="C1473" s="1" t="s">
        <v>647</v>
      </c>
    </row>
    <row r="1474" spans="2:3" ht="15">
      <c r="B1474" s="1">
        <v>17970</v>
      </c>
      <c r="C1474" s="1" t="s">
        <v>647</v>
      </c>
    </row>
    <row r="1475" spans="2:3" ht="15">
      <c r="B1475" s="1">
        <v>17972</v>
      </c>
      <c r="C1475" s="1" t="s">
        <v>647</v>
      </c>
    </row>
    <row r="1476" spans="2:3" ht="15">
      <c r="B1476" s="1">
        <v>17974</v>
      </c>
      <c r="C1476" s="1" t="s">
        <v>647</v>
      </c>
    </row>
    <row r="1477" spans="2:3" ht="15">
      <c r="B1477" s="1">
        <v>17976</v>
      </c>
      <c r="C1477" s="1" t="s">
        <v>647</v>
      </c>
    </row>
    <row r="1478" spans="2:3" ht="15">
      <c r="B1478" s="1">
        <v>17978</v>
      </c>
      <c r="C1478" s="1" t="s">
        <v>647</v>
      </c>
    </row>
    <row r="1479" spans="2:3" ht="15">
      <c r="B1479" s="1">
        <v>17979</v>
      </c>
      <c r="C1479" s="1" t="s">
        <v>647</v>
      </c>
    </row>
    <row r="1480" spans="2:3" ht="15">
      <c r="B1480" s="1">
        <v>17980</v>
      </c>
      <c r="C1480" s="1" t="s">
        <v>647</v>
      </c>
    </row>
    <row r="1481" spans="2:3" ht="15">
      <c r="B1481" s="1">
        <v>17981</v>
      </c>
      <c r="C1481" s="1" t="s">
        <v>647</v>
      </c>
    </row>
    <row r="1482" spans="2:3" ht="15">
      <c r="B1482" s="1">
        <v>17982</v>
      </c>
      <c r="C1482" s="1" t="s">
        <v>647</v>
      </c>
    </row>
    <row r="1483" spans="2:3" ht="15">
      <c r="B1483" s="1">
        <v>17983</v>
      </c>
      <c r="C1483" s="1" t="s">
        <v>647</v>
      </c>
    </row>
    <row r="1484" spans="2:3" ht="15">
      <c r="B1484" s="1">
        <v>17985</v>
      </c>
      <c r="C1484" s="1" t="s">
        <v>647</v>
      </c>
    </row>
    <row r="1485" spans="2:3" ht="15">
      <c r="B1485" s="1">
        <v>18001</v>
      </c>
      <c r="C1485" s="1" t="s">
        <v>647</v>
      </c>
    </row>
    <row r="1486" spans="2:3" ht="15">
      <c r="B1486" s="1">
        <v>18002</v>
      </c>
      <c r="C1486" s="1" t="s">
        <v>647</v>
      </c>
    </row>
    <row r="1487" spans="2:3" ht="15">
      <c r="B1487" s="1">
        <v>18003</v>
      </c>
      <c r="C1487" s="1" t="s">
        <v>647</v>
      </c>
    </row>
    <row r="1488" spans="2:3" ht="15">
      <c r="B1488" s="1">
        <v>18010</v>
      </c>
      <c r="C1488" s="1" t="s">
        <v>647</v>
      </c>
    </row>
    <row r="1489" spans="2:3" ht="15">
      <c r="B1489" s="1">
        <v>18011</v>
      </c>
      <c r="C1489" s="1" t="s">
        <v>647</v>
      </c>
    </row>
    <row r="1490" spans="2:3" ht="15">
      <c r="B1490" s="1">
        <v>18012</v>
      </c>
      <c r="C1490" s="1" t="s">
        <v>647</v>
      </c>
    </row>
    <row r="1491" spans="2:3" ht="15">
      <c r="B1491" s="1">
        <v>18013</v>
      </c>
      <c r="C1491" s="1" t="s">
        <v>647</v>
      </c>
    </row>
    <row r="1492" spans="2:3" ht="15">
      <c r="B1492" s="1">
        <v>18014</v>
      </c>
      <c r="C1492" s="1" t="s">
        <v>647</v>
      </c>
    </row>
    <row r="1493" spans="2:3" ht="15">
      <c r="B1493" s="1">
        <v>18015</v>
      </c>
      <c r="C1493" s="1" t="s">
        <v>647</v>
      </c>
    </row>
    <row r="1494" spans="2:3" ht="15">
      <c r="B1494" s="1">
        <v>18016</v>
      </c>
      <c r="C1494" s="1" t="s">
        <v>647</v>
      </c>
    </row>
    <row r="1495" spans="2:3" ht="15">
      <c r="B1495" s="1">
        <v>18017</v>
      </c>
      <c r="C1495" s="1" t="s">
        <v>647</v>
      </c>
    </row>
    <row r="1496" spans="2:3" ht="15">
      <c r="B1496" s="1">
        <v>18018</v>
      </c>
      <c r="C1496" s="1" t="s">
        <v>647</v>
      </c>
    </row>
    <row r="1497" spans="2:3" ht="15">
      <c r="B1497" s="1">
        <v>18020</v>
      </c>
      <c r="C1497" s="1" t="s">
        <v>647</v>
      </c>
    </row>
    <row r="1498" spans="2:3" ht="15">
      <c r="B1498" s="1">
        <v>18025</v>
      </c>
      <c r="C1498" s="1" t="s">
        <v>647</v>
      </c>
    </row>
    <row r="1499" spans="2:3" ht="15">
      <c r="B1499" s="1">
        <v>18030</v>
      </c>
      <c r="C1499" s="1" t="s">
        <v>647</v>
      </c>
    </row>
    <row r="1500" spans="2:3" ht="15">
      <c r="B1500" s="1">
        <v>18031</v>
      </c>
      <c r="C1500" s="1" t="s">
        <v>647</v>
      </c>
    </row>
    <row r="1501" spans="2:3" ht="15">
      <c r="B1501" s="1">
        <v>18032</v>
      </c>
      <c r="C1501" s="1" t="s">
        <v>647</v>
      </c>
    </row>
    <row r="1502" spans="2:3" ht="15">
      <c r="B1502" s="1">
        <v>18034</v>
      </c>
      <c r="C1502" s="1" t="s">
        <v>647</v>
      </c>
    </row>
    <row r="1503" spans="2:3" ht="15">
      <c r="B1503" s="1">
        <v>18035</v>
      </c>
      <c r="C1503" s="1" t="s">
        <v>647</v>
      </c>
    </row>
    <row r="1504" spans="2:3" ht="15">
      <c r="B1504" s="1">
        <v>18036</v>
      </c>
      <c r="C1504" s="1" t="s">
        <v>647</v>
      </c>
    </row>
    <row r="1505" spans="2:3" ht="15">
      <c r="B1505" s="1">
        <v>18037</v>
      </c>
      <c r="C1505" s="1" t="s">
        <v>647</v>
      </c>
    </row>
    <row r="1506" spans="2:3" ht="15">
      <c r="B1506" s="1">
        <v>18038</v>
      </c>
      <c r="C1506" s="1" t="s">
        <v>647</v>
      </c>
    </row>
    <row r="1507" spans="2:3" ht="15">
      <c r="B1507" s="1">
        <v>18039</v>
      </c>
      <c r="C1507" s="1" t="s">
        <v>652</v>
      </c>
    </row>
    <row r="1508" spans="2:3" ht="15">
      <c r="B1508" s="1">
        <v>18040</v>
      </c>
      <c r="C1508" s="1" t="s">
        <v>647</v>
      </c>
    </row>
    <row r="1509" spans="2:3" ht="15">
      <c r="B1509" s="1">
        <v>18041</v>
      </c>
      <c r="C1509" s="1" t="s">
        <v>652</v>
      </c>
    </row>
    <row r="1510" spans="2:3" ht="15">
      <c r="B1510" s="1">
        <v>18042</v>
      </c>
      <c r="C1510" s="1" t="s">
        <v>647</v>
      </c>
    </row>
    <row r="1511" spans="2:3" ht="15">
      <c r="B1511" s="1">
        <v>18043</v>
      </c>
      <c r="C1511" s="1" t="s">
        <v>647</v>
      </c>
    </row>
    <row r="1512" spans="2:3" ht="15">
      <c r="B1512" s="1">
        <v>18044</v>
      </c>
      <c r="C1512" s="1" t="s">
        <v>647</v>
      </c>
    </row>
    <row r="1513" spans="2:3" ht="15">
      <c r="B1513" s="1">
        <v>18045</v>
      </c>
      <c r="C1513" s="1" t="s">
        <v>647</v>
      </c>
    </row>
    <row r="1514" spans="2:3" ht="15">
      <c r="B1514" s="1">
        <v>18046</v>
      </c>
      <c r="C1514" s="1" t="s">
        <v>647</v>
      </c>
    </row>
    <row r="1515" spans="2:3" ht="15">
      <c r="B1515" s="1">
        <v>18049</v>
      </c>
      <c r="C1515" s="1" t="s">
        <v>647</v>
      </c>
    </row>
    <row r="1516" spans="2:3" ht="15">
      <c r="B1516" s="1">
        <v>18050</v>
      </c>
      <c r="C1516" s="1" t="s">
        <v>647</v>
      </c>
    </row>
    <row r="1517" spans="2:3" ht="15">
      <c r="B1517" s="1">
        <v>18051</v>
      </c>
      <c r="C1517" s="1" t="s">
        <v>647</v>
      </c>
    </row>
    <row r="1518" spans="2:3" ht="15">
      <c r="B1518" s="1">
        <v>18052</v>
      </c>
      <c r="C1518" s="1" t="s">
        <v>647</v>
      </c>
    </row>
    <row r="1519" spans="2:3" ht="15">
      <c r="B1519" s="1">
        <v>18053</v>
      </c>
      <c r="C1519" s="1" t="s">
        <v>647</v>
      </c>
    </row>
    <row r="1520" spans="2:3" ht="15">
      <c r="B1520" s="1">
        <v>18054</v>
      </c>
      <c r="C1520" s="1" t="s">
        <v>652</v>
      </c>
    </row>
    <row r="1521" spans="2:3" ht="15">
      <c r="B1521" s="1">
        <v>18055</v>
      </c>
      <c r="C1521" s="1" t="s">
        <v>647</v>
      </c>
    </row>
    <row r="1522" spans="2:3" ht="15">
      <c r="B1522" s="1">
        <v>18056</v>
      </c>
      <c r="C1522" s="1" t="s">
        <v>652</v>
      </c>
    </row>
    <row r="1523" spans="2:3" ht="15">
      <c r="B1523" s="1">
        <v>18058</v>
      </c>
      <c r="C1523" s="1" t="s">
        <v>654</v>
      </c>
    </row>
    <row r="1524" spans="2:3" ht="15">
      <c r="B1524" s="1">
        <v>18059</v>
      </c>
      <c r="C1524" s="1" t="s">
        <v>647</v>
      </c>
    </row>
    <row r="1525" spans="2:3" ht="15">
      <c r="B1525" s="1">
        <v>18060</v>
      </c>
      <c r="C1525" s="1" t="s">
        <v>647</v>
      </c>
    </row>
    <row r="1526" spans="2:3" ht="15">
      <c r="B1526" s="1">
        <v>18062</v>
      </c>
      <c r="C1526" s="1" t="s">
        <v>647</v>
      </c>
    </row>
    <row r="1527" spans="2:3" ht="15">
      <c r="B1527" s="1">
        <v>18063</v>
      </c>
      <c r="C1527" s="1" t="s">
        <v>647</v>
      </c>
    </row>
    <row r="1528" spans="2:3" ht="15">
      <c r="B1528" s="1">
        <v>18064</v>
      </c>
      <c r="C1528" s="1" t="s">
        <v>647</v>
      </c>
    </row>
    <row r="1529" spans="2:3" ht="15">
      <c r="B1529" s="1">
        <v>18065</v>
      </c>
      <c r="C1529" s="1" t="s">
        <v>647</v>
      </c>
    </row>
    <row r="1530" spans="2:3" ht="15">
      <c r="B1530" s="1">
        <v>18066</v>
      </c>
      <c r="C1530" s="1" t="s">
        <v>647</v>
      </c>
    </row>
    <row r="1531" spans="2:3" ht="15">
      <c r="B1531" s="1">
        <v>18067</v>
      </c>
      <c r="C1531" s="1" t="s">
        <v>647</v>
      </c>
    </row>
    <row r="1532" spans="2:3" ht="15">
      <c r="B1532" s="1">
        <v>18068</v>
      </c>
      <c r="C1532" s="1" t="s">
        <v>647</v>
      </c>
    </row>
    <row r="1533" spans="2:3" ht="15">
      <c r="B1533" s="1">
        <v>18069</v>
      </c>
      <c r="C1533" s="1" t="s">
        <v>647</v>
      </c>
    </row>
    <row r="1534" spans="2:3" ht="15">
      <c r="B1534" s="1">
        <v>18070</v>
      </c>
      <c r="C1534" s="1" t="s">
        <v>652</v>
      </c>
    </row>
    <row r="1535" spans="2:3" ht="15">
      <c r="B1535" s="1">
        <v>18071</v>
      </c>
      <c r="C1535" s="1" t="s">
        <v>647</v>
      </c>
    </row>
    <row r="1536" spans="2:3" ht="15">
      <c r="B1536" s="1">
        <v>18072</v>
      </c>
      <c r="C1536" s="1" t="s">
        <v>647</v>
      </c>
    </row>
    <row r="1537" spans="2:3" ht="15">
      <c r="B1537" s="1">
        <v>18073</v>
      </c>
      <c r="C1537" s="1" t="s">
        <v>652</v>
      </c>
    </row>
    <row r="1538" spans="2:3" ht="15">
      <c r="B1538" s="1">
        <v>18074</v>
      </c>
      <c r="C1538" s="1" t="s">
        <v>652</v>
      </c>
    </row>
    <row r="1539" spans="2:3" ht="15">
      <c r="B1539" s="1">
        <v>18076</v>
      </c>
      <c r="C1539" s="1" t="s">
        <v>652</v>
      </c>
    </row>
    <row r="1540" spans="2:3" ht="15">
      <c r="B1540" s="1">
        <v>18077</v>
      </c>
      <c r="C1540" s="1" t="s">
        <v>652</v>
      </c>
    </row>
    <row r="1541" spans="2:3" ht="15">
      <c r="B1541" s="1">
        <v>18078</v>
      </c>
      <c r="C1541" s="1" t="s">
        <v>647</v>
      </c>
    </row>
    <row r="1542" spans="2:3" ht="15">
      <c r="B1542" s="1">
        <v>18079</v>
      </c>
      <c r="C1542" s="1" t="s">
        <v>647</v>
      </c>
    </row>
    <row r="1543" spans="2:3" ht="15">
      <c r="B1543" s="1">
        <v>18080</v>
      </c>
      <c r="C1543" s="1" t="s">
        <v>647</v>
      </c>
    </row>
    <row r="1544" spans="2:3" ht="15">
      <c r="B1544" s="1">
        <v>18081</v>
      </c>
      <c r="C1544" s="1" t="s">
        <v>652</v>
      </c>
    </row>
    <row r="1545" spans="2:3" ht="15">
      <c r="B1545" s="1">
        <v>18083</v>
      </c>
      <c r="C1545" s="1" t="s">
        <v>647</v>
      </c>
    </row>
    <row r="1546" spans="2:3" ht="15">
      <c r="B1546" s="1">
        <v>18084</v>
      </c>
      <c r="C1546" s="1" t="s">
        <v>652</v>
      </c>
    </row>
    <row r="1547" spans="2:3" ht="15">
      <c r="B1547" s="1">
        <v>18085</v>
      </c>
      <c r="C1547" s="1" t="s">
        <v>647</v>
      </c>
    </row>
    <row r="1548" spans="2:3" ht="15">
      <c r="B1548" s="1">
        <v>18086</v>
      </c>
      <c r="C1548" s="1" t="s">
        <v>647</v>
      </c>
    </row>
    <row r="1549" spans="2:3" ht="15">
      <c r="B1549" s="1">
        <v>18087</v>
      </c>
      <c r="C1549" s="1" t="s">
        <v>647</v>
      </c>
    </row>
    <row r="1550" spans="2:3" ht="15">
      <c r="B1550" s="1">
        <v>18088</v>
      </c>
      <c r="C1550" s="1" t="s">
        <v>647</v>
      </c>
    </row>
    <row r="1551" spans="2:3" ht="15">
      <c r="B1551" s="1">
        <v>18091</v>
      </c>
      <c r="C1551" s="1" t="s">
        <v>647</v>
      </c>
    </row>
    <row r="1552" spans="2:3" ht="15">
      <c r="B1552" s="1">
        <v>18092</v>
      </c>
      <c r="C1552" s="1" t="s">
        <v>647</v>
      </c>
    </row>
    <row r="1553" spans="2:3" ht="15">
      <c r="B1553" s="1">
        <v>18098</v>
      </c>
      <c r="C1553" s="1" t="s">
        <v>647</v>
      </c>
    </row>
    <row r="1554" spans="2:3" ht="15">
      <c r="B1554" s="1">
        <v>18099</v>
      </c>
      <c r="C1554" s="1" t="s">
        <v>647</v>
      </c>
    </row>
    <row r="1555" spans="2:3" ht="15">
      <c r="B1555" s="1">
        <v>18101</v>
      </c>
      <c r="C1555" s="1" t="s">
        <v>647</v>
      </c>
    </row>
    <row r="1556" spans="2:3" ht="15">
      <c r="B1556" s="1">
        <v>18102</v>
      </c>
      <c r="C1556" s="1" t="s">
        <v>647</v>
      </c>
    </row>
    <row r="1557" spans="2:3" ht="15">
      <c r="B1557" s="1">
        <v>18103</v>
      </c>
      <c r="C1557" s="1" t="s">
        <v>647</v>
      </c>
    </row>
    <row r="1558" spans="2:3" ht="15">
      <c r="B1558" s="1">
        <v>18104</v>
      </c>
      <c r="C1558" s="1" t="s">
        <v>647</v>
      </c>
    </row>
    <row r="1559" spans="2:3" ht="15">
      <c r="B1559" s="1">
        <v>18105</v>
      </c>
      <c r="C1559" s="1" t="s">
        <v>647</v>
      </c>
    </row>
    <row r="1560" spans="2:3" ht="15">
      <c r="B1560" s="1">
        <v>18106</v>
      </c>
      <c r="C1560" s="1" t="s">
        <v>647</v>
      </c>
    </row>
    <row r="1561" spans="2:3" ht="15">
      <c r="B1561" s="1">
        <v>18109</v>
      </c>
      <c r="C1561" s="1" t="s">
        <v>647</v>
      </c>
    </row>
    <row r="1562" spans="2:3" ht="15">
      <c r="B1562" s="1">
        <v>18175</v>
      </c>
      <c r="C1562" s="1" t="s">
        <v>647</v>
      </c>
    </row>
    <row r="1563" spans="2:3" ht="15">
      <c r="B1563" s="1">
        <v>18195</v>
      </c>
      <c r="C1563" s="1" t="s">
        <v>647</v>
      </c>
    </row>
    <row r="1564" spans="2:3" ht="15">
      <c r="B1564" s="1">
        <v>18201</v>
      </c>
      <c r="C1564" s="1" t="s">
        <v>654</v>
      </c>
    </row>
    <row r="1565" spans="2:3" ht="15">
      <c r="B1565" s="1">
        <v>18202</v>
      </c>
      <c r="C1565" s="1" t="s">
        <v>654</v>
      </c>
    </row>
    <row r="1566" spans="2:3" ht="15">
      <c r="B1566" s="1">
        <v>18210</v>
      </c>
      <c r="C1566" s="1" t="s">
        <v>647</v>
      </c>
    </row>
    <row r="1567" spans="2:3" ht="15">
      <c r="B1567" s="1">
        <v>18211</v>
      </c>
      <c r="C1567" s="1" t="s">
        <v>647</v>
      </c>
    </row>
    <row r="1568" spans="2:3" ht="15">
      <c r="B1568" s="1">
        <v>18212</v>
      </c>
      <c r="C1568" s="1" t="s">
        <v>647</v>
      </c>
    </row>
    <row r="1569" spans="2:3" ht="15">
      <c r="B1569" s="1">
        <v>18214</v>
      </c>
      <c r="C1569" s="1" t="s">
        <v>647</v>
      </c>
    </row>
    <row r="1570" spans="2:3" ht="15">
      <c r="B1570" s="1">
        <v>18216</v>
      </c>
      <c r="C1570" s="1" t="s">
        <v>647</v>
      </c>
    </row>
    <row r="1571" spans="2:3" ht="15">
      <c r="B1571" s="1">
        <v>18218</v>
      </c>
      <c r="C1571" s="1" t="s">
        <v>647</v>
      </c>
    </row>
    <row r="1572" spans="2:3" ht="15">
      <c r="B1572" s="1">
        <v>18219</v>
      </c>
      <c r="C1572" s="1" t="s">
        <v>654</v>
      </c>
    </row>
    <row r="1573" spans="2:3" ht="15">
      <c r="B1573" s="1">
        <v>18220</v>
      </c>
      <c r="C1573" s="1" t="s">
        <v>647</v>
      </c>
    </row>
    <row r="1574" spans="2:3" ht="15">
      <c r="B1574" s="1">
        <v>18221</v>
      </c>
      <c r="C1574" s="1" t="s">
        <v>654</v>
      </c>
    </row>
    <row r="1575" spans="2:3" ht="15">
      <c r="B1575" s="1">
        <v>18222</v>
      </c>
      <c r="C1575" s="1" t="s">
        <v>654</v>
      </c>
    </row>
    <row r="1576" spans="2:3" ht="15">
      <c r="B1576" s="1">
        <v>18223</v>
      </c>
      <c r="C1576" s="1" t="s">
        <v>654</v>
      </c>
    </row>
    <row r="1577" spans="2:3" ht="15">
      <c r="B1577" s="1">
        <v>18224</v>
      </c>
      <c r="C1577" s="1" t="s">
        <v>654</v>
      </c>
    </row>
    <row r="1578" spans="2:3" ht="15">
      <c r="B1578" s="1">
        <v>18225</v>
      </c>
      <c r="C1578" s="1" t="s">
        <v>654</v>
      </c>
    </row>
    <row r="1579" spans="2:3" ht="15">
      <c r="B1579" s="1">
        <v>18229</v>
      </c>
      <c r="C1579" s="1" t="s">
        <v>647</v>
      </c>
    </row>
    <row r="1580" spans="2:3" ht="15">
      <c r="B1580" s="1">
        <v>18230</v>
      </c>
      <c r="C1580" s="1" t="s">
        <v>647</v>
      </c>
    </row>
    <row r="1581" spans="2:3" ht="15">
      <c r="B1581" s="1">
        <v>18231</v>
      </c>
      <c r="C1581" s="1" t="s">
        <v>647</v>
      </c>
    </row>
    <row r="1582" spans="2:3" ht="15">
      <c r="B1582" s="1">
        <v>18232</v>
      </c>
      <c r="C1582" s="1" t="s">
        <v>647</v>
      </c>
    </row>
    <row r="1583" spans="2:3" ht="15">
      <c r="B1583" s="1">
        <v>18234</v>
      </c>
      <c r="C1583" s="1" t="s">
        <v>654</v>
      </c>
    </row>
    <row r="1584" spans="2:3" ht="15">
      <c r="B1584" s="1">
        <v>18235</v>
      </c>
      <c r="C1584" s="1" t="s">
        <v>647</v>
      </c>
    </row>
    <row r="1585" spans="2:3" ht="15">
      <c r="B1585" s="1">
        <v>18237</v>
      </c>
      <c r="C1585" s="1" t="s">
        <v>647</v>
      </c>
    </row>
    <row r="1586" spans="2:3" ht="15">
      <c r="B1586" s="1">
        <v>18239</v>
      </c>
      <c r="C1586" s="1" t="s">
        <v>654</v>
      </c>
    </row>
    <row r="1587" spans="2:3" ht="15">
      <c r="B1587" s="1">
        <v>18240</v>
      </c>
      <c r="C1587" s="1" t="s">
        <v>647</v>
      </c>
    </row>
    <row r="1588" spans="2:3" ht="15">
      <c r="B1588" s="1">
        <v>18241</v>
      </c>
      <c r="C1588" s="1" t="s">
        <v>647</v>
      </c>
    </row>
    <row r="1589" spans="2:3" ht="15">
      <c r="B1589" s="1">
        <v>18242</v>
      </c>
      <c r="C1589" s="1" t="s">
        <v>647</v>
      </c>
    </row>
    <row r="1590" spans="2:3" ht="15">
      <c r="B1590" s="1">
        <v>18244</v>
      </c>
      <c r="C1590" s="1" t="s">
        <v>647</v>
      </c>
    </row>
    <row r="1591" spans="2:3" ht="15">
      <c r="B1591" s="1">
        <v>18245</v>
      </c>
      <c r="C1591" s="1" t="s">
        <v>647</v>
      </c>
    </row>
    <row r="1592" spans="2:3" ht="15">
      <c r="B1592" s="1">
        <v>18246</v>
      </c>
      <c r="C1592" s="1" t="s">
        <v>654</v>
      </c>
    </row>
    <row r="1593" spans="2:3" ht="15">
      <c r="B1593" s="1">
        <v>18247</v>
      </c>
      <c r="C1593" s="1" t="s">
        <v>654</v>
      </c>
    </row>
    <row r="1594" spans="2:3" ht="15">
      <c r="B1594" s="1">
        <v>18248</v>
      </c>
      <c r="C1594" s="1" t="s">
        <v>647</v>
      </c>
    </row>
    <row r="1595" spans="2:3" ht="15">
      <c r="B1595" s="1">
        <v>18249</v>
      </c>
      <c r="C1595" s="1" t="s">
        <v>654</v>
      </c>
    </row>
    <row r="1596" spans="2:3" ht="15">
      <c r="B1596" s="1">
        <v>18250</v>
      </c>
      <c r="C1596" s="1" t="s">
        <v>647</v>
      </c>
    </row>
    <row r="1597" spans="2:3" ht="15">
      <c r="B1597" s="1">
        <v>18251</v>
      </c>
      <c r="C1597" s="1" t="s">
        <v>654</v>
      </c>
    </row>
    <row r="1598" spans="2:3" ht="15">
      <c r="B1598" s="1">
        <v>18252</v>
      </c>
      <c r="C1598" s="1" t="s">
        <v>647</v>
      </c>
    </row>
    <row r="1599" spans="2:3" ht="15">
      <c r="B1599" s="1">
        <v>18254</v>
      </c>
      <c r="C1599" s="1" t="s">
        <v>647</v>
      </c>
    </row>
    <row r="1600" spans="2:3" ht="15">
      <c r="B1600" s="1">
        <v>18255</v>
      </c>
      <c r="C1600" s="1" t="s">
        <v>647</v>
      </c>
    </row>
    <row r="1601" spans="2:3" ht="15">
      <c r="B1601" s="1">
        <v>18256</v>
      </c>
      <c r="C1601" s="1" t="s">
        <v>654</v>
      </c>
    </row>
    <row r="1602" spans="2:3" ht="15">
      <c r="B1602" s="1">
        <v>18301</v>
      </c>
      <c r="C1602" s="1" t="s">
        <v>654</v>
      </c>
    </row>
    <row r="1603" spans="2:3" ht="15">
      <c r="B1603" s="1">
        <v>18302</v>
      </c>
      <c r="C1603" s="1" t="s">
        <v>654</v>
      </c>
    </row>
    <row r="1604" spans="2:3" ht="15">
      <c r="B1604" s="1">
        <v>18320</v>
      </c>
      <c r="C1604" s="1" t="s">
        <v>654</v>
      </c>
    </row>
    <row r="1605" spans="2:3" ht="15">
      <c r="B1605" s="1">
        <v>18321</v>
      </c>
      <c r="C1605" s="1" t="s">
        <v>654</v>
      </c>
    </row>
    <row r="1606" spans="2:3" ht="15">
      <c r="B1606" s="1">
        <v>18322</v>
      </c>
      <c r="C1606" s="1" t="s">
        <v>654</v>
      </c>
    </row>
    <row r="1607" spans="2:3" ht="15">
      <c r="B1607" s="1">
        <v>18323</v>
      </c>
      <c r="C1607" s="1" t="s">
        <v>654</v>
      </c>
    </row>
    <row r="1608" spans="2:3" ht="15">
      <c r="B1608" s="1">
        <v>18324</v>
      </c>
      <c r="C1608" s="1" t="s">
        <v>654</v>
      </c>
    </row>
    <row r="1609" spans="2:3" ht="15">
      <c r="B1609" s="1">
        <v>18325</v>
      </c>
      <c r="C1609" s="1" t="s">
        <v>654</v>
      </c>
    </row>
    <row r="1610" spans="2:3" ht="15">
      <c r="B1610" s="1">
        <v>18326</v>
      </c>
      <c r="C1610" s="1" t="s">
        <v>654</v>
      </c>
    </row>
    <row r="1611" spans="2:3" ht="15">
      <c r="B1611" s="1">
        <v>18327</v>
      </c>
      <c r="C1611" s="1" t="s">
        <v>654</v>
      </c>
    </row>
    <row r="1612" spans="2:3" ht="15">
      <c r="B1612" s="1">
        <v>18328</v>
      </c>
      <c r="C1612" s="1" t="s">
        <v>654</v>
      </c>
    </row>
    <row r="1613" spans="2:3" ht="15">
      <c r="B1613" s="1">
        <v>18330</v>
      </c>
      <c r="C1613" s="1" t="s">
        <v>654</v>
      </c>
    </row>
    <row r="1614" spans="2:3" ht="15">
      <c r="B1614" s="1">
        <v>18331</v>
      </c>
      <c r="C1614" s="1" t="s">
        <v>654</v>
      </c>
    </row>
    <row r="1615" spans="2:3" ht="15">
      <c r="B1615" s="1">
        <v>18332</v>
      </c>
      <c r="C1615" s="1" t="s">
        <v>654</v>
      </c>
    </row>
    <row r="1616" spans="2:3" ht="15">
      <c r="B1616" s="1">
        <v>18333</v>
      </c>
      <c r="C1616" s="1" t="s">
        <v>654</v>
      </c>
    </row>
    <row r="1617" spans="2:3" ht="15">
      <c r="B1617" s="1">
        <v>18334</v>
      </c>
      <c r="C1617" s="1" t="s">
        <v>654</v>
      </c>
    </row>
    <row r="1618" spans="2:3" ht="15">
      <c r="B1618" s="1">
        <v>18335</v>
      </c>
      <c r="C1618" s="1" t="s">
        <v>654</v>
      </c>
    </row>
    <row r="1619" spans="2:3" ht="15">
      <c r="B1619" s="1">
        <v>18336</v>
      </c>
      <c r="C1619" s="1" t="s">
        <v>654</v>
      </c>
    </row>
    <row r="1620" spans="2:3" ht="15">
      <c r="B1620" s="1">
        <v>18337</v>
      </c>
      <c r="C1620" s="1" t="s">
        <v>654</v>
      </c>
    </row>
    <row r="1621" spans="2:3" ht="15">
      <c r="B1621" s="1">
        <v>18340</v>
      </c>
      <c r="C1621" s="1" t="s">
        <v>654</v>
      </c>
    </row>
    <row r="1622" spans="2:3" ht="15">
      <c r="B1622" s="1">
        <v>18341</v>
      </c>
      <c r="C1622" s="1" t="s">
        <v>654</v>
      </c>
    </row>
    <row r="1623" spans="2:3" ht="15">
      <c r="B1623" s="1">
        <v>18342</v>
      </c>
      <c r="C1623" s="1" t="s">
        <v>654</v>
      </c>
    </row>
    <row r="1624" spans="2:3" ht="15">
      <c r="B1624" s="1">
        <v>18343</v>
      </c>
      <c r="C1624" s="1" t="s">
        <v>647</v>
      </c>
    </row>
    <row r="1625" spans="2:3" ht="15">
      <c r="B1625" s="1">
        <v>18344</v>
      </c>
      <c r="C1625" s="1" t="s">
        <v>654</v>
      </c>
    </row>
    <row r="1626" spans="2:3" ht="15">
      <c r="B1626" s="1">
        <v>18346</v>
      </c>
      <c r="C1626" s="1" t="s">
        <v>654</v>
      </c>
    </row>
    <row r="1627" spans="2:3" ht="15">
      <c r="B1627" s="1">
        <v>18347</v>
      </c>
      <c r="C1627" s="1" t="s">
        <v>654</v>
      </c>
    </row>
    <row r="1628" spans="2:3" ht="15">
      <c r="B1628" s="1">
        <v>18348</v>
      </c>
      <c r="C1628" s="1" t="s">
        <v>654</v>
      </c>
    </row>
    <row r="1629" spans="2:3" ht="15">
      <c r="B1629" s="1">
        <v>18349</v>
      </c>
      <c r="C1629" s="1" t="s">
        <v>654</v>
      </c>
    </row>
    <row r="1630" spans="2:3" ht="15">
      <c r="B1630" s="1">
        <v>18350</v>
      </c>
      <c r="C1630" s="1" t="s">
        <v>654</v>
      </c>
    </row>
    <row r="1631" spans="2:3" ht="15">
      <c r="B1631" s="1">
        <v>18351</v>
      </c>
      <c r="C1631" s="1" t="s">
        <v>647</v>
      </c>
    </row>
    <row r="1632" spans="2:3" ht="15">
      <c r="B1632" s="1">
        <v>18352</v>
      </c>
      <c r="C1632" s="1" t="s">
        <v>654</v>
      </c>
    </row>
    <row r="1633" spans="2:3" ht="15">
      <c r="B1633" s="1">
        <v>18353</v>
      </c>
      <c r="C1633" s="1" t="s">
        <v>654</v>
      </c>
    </row>
    <row r="1634" spans="2:3" ht="15">
      <c r="B1634" s="1">
        <v>18354</v>
      </c>
      <c r="C1634" s="1" t="s">
        <v>654</v>
      </c>
    </row>
    <row r="1635" spans="2:3" ht="15">
      <c r="B1635" s="1">
        <v>18355</v>
      </c>
      <c r="C1635" s="1" t="s">
        <v>654</v>
      </c>
    </row>
    <row r="1636" spans="2:3" ht="15">
      <c r="B1636" s="1">
        <v>18356</v>
      </c>
      <c r="C1636" s="1" t="s">
        <v>654</v>
      </c>
    </row>
    <row r="1637" spans="2:3" ht="15">
      <c r="B1637" s="1">
        <v>18357</v>
      </c>
      <c r="C1637" s="1" t="s">
        <v>654</v>
      </c>
    </row>
    <row r="1638" spans="2:3" ht="15">
      <c r="B1638" s="1">
        <v>18360</v>
      </c>
      <c r="C1638" s="1" t="s">
        <v>654</v>
      </c>
    </row>
    <row r="1639" spans="2:3" ht="15">
      <c r="B1639" s="1">
        <v>18370</v>
      </c>
      <c r="C1639" s="1" t="s">
        <v>654</v>
      </c>
    </row>
    <row r="1640" spans="2:3" ht="15">
      <c r="B1640" s="1">
        <v>18371</v>
      </c>
      <c r="C1640" s="1" t="s">
        <v>654</v>
      </c>
    </row>
    <row r="1641" spans="2:3" ht="15">
      <c r="B1641" s="1">
        <v>18372</v>
      </c>
      <c r="C1641" s="1" t="s">
        <v>654</v>
      </c>
    </row>
    <row r="1642" spans="2:3" ht="15">
      <c r="B1642" s="1">
        <v>18373</v>
      </c>
      <c r="C1642" s="1" t="s">
        <v>654</v>
      </c>
    </row>
    <row r="1643" spans="2:3" ht="15">
      <c r="B1643" s="1">
        <v>18401</v>
      </c>
      <c r="C1643" s="1" t="s">
        <v>693</v>
      </c>
    </row>
    <row r="1644" spans="2:3" ht="15">
      <c r="B1644" s="1">
        <v>18403</v>
      </c>
      <c r="C1644" s="1" t="s">
        <v>654</v>
      </c>
    </row>
    <row r="1645" spans="2:3" ht="15">
      <c r="B1645" s="1">
        <v>18405</v>
      </c>
      <c r="C1645" s="1" t="s">
        <v>693</v>
      </c>
    </row>
    <row r="1646" spans="2:3" ht="15">
      <c r="B1646" s="1">
        <v>18407</v>
      </c>
      <c r="C1646" s="1" t="s">
        <v>654</v>
      </c>
    </row>
    <row r="1647" spans="2:3" ht="15">
      <c r="B1647" s="1">
        <v>18410</v>
      </c>
      <c r="C1647" s="1" t="s">
        <v>654</v>
      </c>
    </row>
    <row r="1648" spans="2:3" ht="15">
      <c r="B1648" s="1">
        <v>18411</v>
      </c>
      <c r="C1648" s="1" t="s">
        <v>654</v>
      </c>
    </row>
    <row r="1649" spans="2:3" ht="15">
      <c r="B1649" s="1">
        <v>18413</v>
      </c>
      <c r="C1649" s="1" t="s">
        <v>693</v>
      </c>
    </row>
    <row r="1650" spans="2:3" ht="15">
      <c r="B1650" s="1">
        <v>18414</v>
      </c>
      <c r="C1650" s="1" t="s">
        <v>654</v>
      </c>
    </row>
    <row r="1651" spans="2:3" ht="15">
      <c r="B1651" s="1">
        <v>18415</v>
      </c>
      <c r="C1651" s="1" t="s">
        <v>693</v>
      </c>
    </row>
    <row r="1652" spans="2:3" ht="15">
      <c r="B1652" s="1">
        <v>18416</v>
      </c>
      <c r="C1652" s="1" t="s">
        <v>654</v>
      </c>
    </row>
    <row r="1653" spans="2:3" ht="15">
      <c r="B1653" s="1">
        <v>18417</v>
      </c>
      <c r="C1653" s="1" t="s">
        <v>693</v>
      </c>
    </row>
    <row r="1654" spans="2:3" ht="15">
      <c r="B1654" s="1">
        <v>18419</v>
      </c>
      <c r="C1654" s="1" t="s">
        <v>654</v>
      </c>
    </row>
    <row r="1655" spans="2:3" ht="15">
      <c r="B1655" s="1">
        <v>18420</v>
      </c>
      <c r="C1655" s="1" t="s">
        <v>654</v>
      </c>
    </row>
    <row r="1656" spans="2:3" ht="15">
      <c r="B1656" s="1">
        <v>18421</v>
      </c>
      <c r="C1656" s="1" t="s">
        <v>693</v>
      </c>
    </row>
    <row r="1657" spans="2:3" ht="15">
      <c r="B1657" s="1">
        <v>18424</v>
      </c>
      <c r="C1657" s="1" t="s">
        <v>654</v>
      </c>
    </row>
    <row r="1658" spans="2:3" ht="15">
      <c r="B1658" s="1">
        <v>18425</v>
      </c>
      <c r="C1658" s="1" t="s">
        <v>654</v>
      </c>
    </row>
    <row r="1659" spans="2:3" ht="15">
      <c r="B1659" s="1">
        <v>18426</v>
      </c>
      <c r="C1659" s="1" t="s">
        <v>654</v>
      </c>
    </row>
    <row r="1660" spans="2:3" ht="15">
      <c r="B1660" s="1">
        <v>18427</v>
      </c>
      <c r="C1660" s="1" t="s">
        <v>693</v>
      </c>
    </row>
    <row r="1661" spans="2:3" ht="15">
      <c r="B1661" s="1">
        <v>18428</v>
      </c>
      <c r="C1661" s="1" t="s">
        <v>654</v>
      </c>
    </row>
    <row r="1662" spans="2:3" ht="15">
      <c r="B1662" s="1">
        <v>18430</v>
      </c>
      <c r="C1662" s="1" t="s">
        <v>693</v>
      </c>
    </row>
    <row r="1663" spans="2:3" ht="15">
      <c r="B1663" s="1">
        <v>18431</v>
      </c>
      <c r="C1663" s="1" t="s">
        <v>693</v>
      </c>
    </row>
    <row r="1664" spans="2:3" ht="15">
      <c r="B1664" s="1">
        <v>18433</v>
      </c>
      <c r="C1664" s="1" t="s">
        <v>654</v>
      </c>
    </row>
    <row r="1665" spans="2:3" ht="15">
      <c r="B1665" s="1">
        <v>18434</v>
      </c>
      <c r="C1665" s="1" t="s">
        <v>654</v>
      </c>
    </row>
    <row r="1666" spans="2:3" ht="15">
      <c r="B1666" s="1">
        <v>18435</v>
      </c>
      <c r="C1666" s="1" t="s">
        <v>654</v>
      </c>
    </row>
    <row r="1667" spans="2:3" ht="15">
      <c r="B1667" s="1">
        <v>18436</v>
      </c>
      <c r="C1667" s="1" t="s">
        <v>693</v>
      </c>
    </row>
    <row r="1668" spans="2:3" ht="15">
      <c r="B1668" s="1">
        <v>18437</v>
      </c>
      <c r="C1668" s="1" t="s">
        <v>693</v>
      </c>
    </row>
    <row r="1669" spans="2:3" ht="15">
      <c r="B1669" s="1">
        <v>18438</v>
      </c>
      <c r="C1669" s="1" t="s">
        <v>693</v>
      </c>
    </row>
    <row r="1670" spans="2:3" ht="15">
      <c r="B1670" s="1">
        <v>18439</v>
      </c>
      <c r="C1670" s="1" t="s">
        <v>693</v>
      </c>
    </row>
    <row r="1671" spans="2:3" ht="15">
      <c r="B1671" s="1">
        <v>18440</v>
      </c>
      <c r="C1671" s="1" t="s">
        <v>654</v>
      </c>
    </row>
    <row r="1672" spans="2:3" ht="15">
      <c r="B1672" s="1">
        <v>18441</v>
      </c>
      <c r="C1672" s="1" t="s">
        <v>693</v>
      </c>
    </row>
    <row r="1673" spans="2:3" ht="15">
      <c r="B1673" s="1">
        <v>18443</v>
      </c>
      <c r="C1673" s="1" t="s">
        <v>693</v>
      </c>
    </row>
    <row r="1674" spans="2:3" ht="15">
      <c r="B1674" s="1">
        <v>18444</v>
      </c>
      <c r="C1674" s="1" t="s">
        <v>654</v>
      </c>
    </row>
    <row r="1675" spans="2:3" ht="15">
      <c r="B1675" s="1">
        <v>18445</v>
      </c>
      <c r="C1675" s="1" t="s">
        <v>693</v>
      </c>
    </row>
    <row r="1676" spans="2:3" ht="15">
      <c r="B1676" s="1">
        <v>18446</v>
      </c>
      <c r="C1676" s="1" t="s">
        <v>654</v>
      </c>
    </row>
    <row r="1677" spans="2:3" ht="15">
      <c r="B1677" s="1">
        <v>18447</v>
      </c>
      <c r="C1677" s="1" t="s">
        <v>654</v>
      </c>
    </row>
    <row r="1678" spans="2:3" ht="15">
      <c r="B1678" s="1">
        <v>18448</v>
      </c>
      <c r="C1678" s="1" t="s">
        <v>654</v>
      </c>
    </row>
    <row r="1679" spans="2:3" ht="15">
      <c r="B1679" s="1">
        <v>18449</v>
      </c>
      <c r="C1679" s="1" t="s">
        <v>693</v>
      </c>
    </row>
    <row r="1680" spans="2:3" ht="15">
      <c r="B1680" s="1">
        <v>18451</v>
      </c>
      <c r="C1680" s="1" t="s">
        <v>654</v>
      </c>
    </row>
    <row r="1681" spans="2:3" ht="15">
      <c r="B1681" s="1">
        <v>18452</v>
      </c>
      <c r="C1681" s="1" t="s">
        <v>654</v>
      </c>
    </row>
    <row r="1682" spans="2:3" ht="15">
      <c r="B1682" s="1">
        <v>18453</v>
      </c>
      <c r="C1682" s="1" t="s">
        <v>693</v>
      </c>
    </row>
    <row r="1683" spans="2:3" ht="15">
      <c r="B1683" s="1">
        <v>18454</v>
      </c>
      <c r="C1683" s="1" t="s">
        <v>693</v>
      </c>
    </row>
    <row r="1684" spans="2:3" ht="15">
      <c r="B1684" s="1">
        <v>18455</v>
      </c>
      <c r="C1684" s="1" t="s">
        <v>693</v>
      </c>
    </row>
    <row r="1685" spans="2:3" ht="15">
      <c r="B1685" s="1">
        <v>18456</v>
      </c>
      <c r="C1685" s="1" t="s">
        <v>693</v>
      </c>
    </row>
    <row r="1686" spans="2:3" ht="15">
      <c r="B1686" s="1">
        <v>18457</v>
      </c>
      <c r="C1686" s="1" t="s">
        <v>654</v>
      </c>
    </row>
    <row r="1687" spans="2:3" ht="15">
      <c r="B1687" s="1">
        <v>18458</v>
      </c>
      <c r="C1687" s="1" t="s">
        <v>654</v>
      </c>
    </row>
    <row r="1688" spans="2:3" ht="15">
      <c r="B1688" s="1">
        <v>18459</v>
      </c>
      <c r="C1688" s="1" t="s">
        <v>693</v>
      </c>
    </row>
    <row r="1689" spans="2:3" ht="15">
      <c r="B1689" s="1">
        <v>18460</v>
      </c>
      <c r="C1689" s="1" t="s">
        <v>693</v>
      </c>
    </row>
    <row r="1690" spans="2:3" ht="15">
      <c r="B1690" s="1">
        <v>18461</v>
      </c>
      <c r="C1690" s="1" t="s">
        <v>693</v>
      </c>
    </row>
    <row r="1691" spans="2:3" ht="15">
      <c r="B1691" s="1">
        <v>18462</v>
      </c>
      <c r="C1691" s="1" t="s">
        <v>693</v>
      </c>
    </row>
    <row r="1692" spans="2:3" ht="15">
      <c r="B1692" s="1">
        <v>18463</v>
      </c>
      <c r="C1692" s="1" t="s">
        <v>693</v>
      </c>
    </row>
    <row r="1693" spans="2:3" ht="15">
      <c r="B1693" s="1">
        <v>18464</v>
      </c>
      <c r="C1693" s="1" t="s">
        <v>654</v>
      </c>
    </row>
    <row r="1694" spans="2:3" ht="15">
      <c r="B1694" s="1">
        <v>18465</v>
      </c>
      <c r="C1694" s="1" t="s">
        <v>693</v>
      </c>
    </row>
    <row r="1695" spans="2:3" ht="15">
      <c r="B1695" s="1">
        <v>18466</v>
      </c>
      <c r="C1695" s="1" t="s">
        <v>654</v>
      </c>
    </row>
    <row r="1696" spans="2:3" ht="15">
      <c r="B1696" s="1">
        <v>18469</v>
      </c>
      <c r="C1696" s="1" t="s">
        <v>693</v>
      </c>
    </row>
    <row r="1697" spans="2:3" ht="15">
      <c r="B1697" s="1">
        <v>18470</v>
      </c>
      <c r="C1697" s="1" t="s">
        <v>693</v>
      </c>
    </row>
    <row r="1698" spans="2:3" ht="15">
      <c r="B1698" s="1">
        <v>18471</v>
      </c>
      <c r="C1698" s="1" t="s">
        <v>654</v>
      </c>
    </row>
    <row r="1699" spans="2:3" ht="15">
      <c r="B1699" s="1">
        <v>18472</v>
      </c>
      <c r="C1699" s="1" t="s">
        <v>693</v>
      </c>
    </row>
    <row r="1700" spans="2:3" ht="15">
      <c r="B1700" s="1">
        <v>18473</v>
      </c>
      <c r="C1700" s="1" t="s">
        <v>693</v>
      </c>
    </row>
    <row r="1701" spans="2:3" ht="15">
      <c r="B1701" s="1">
        <v>18501</v>
      </c>
      <c r="C1701" s="1" t="s">
        <v>654</v>
      </c>
    </row>
    <row r="1702" spans="2:3" ht="15">
      <c r="B1702" s="1">
        <v>18502</v>
      </c>
      <c r="C1702" s="1" t="s">
        <v>654</v>
      </c>
    </row>
    <row r="1703" spans="2:3" ht="15">
      <c r="B1703" s="1">
        <v>18503</v>
      </c>
      <c r="C1703" s="1" t="s">
        <v>654</v>
      </c>
    </row>
    <row r="1704" spans="2:3" ht="15">
      <c r="B1704" s="1">
        <v>18504</v>
      </c>
      <c r="C1704" s="1" t="s">
        <v>654</v>
      </c>
    </row>
    <row r="1705" spans="2:3" ht="15">
      <c r="B1705" s="1">
        <v>18505</v>
      </c>
      <c r="C1705" s="1" t="s">
        <v>654</v>
      </c>
    </row>
    <row r="1706" spans="2:3" ht="15">
      <c r="B1706" s="1">
        <v>18507</v>
      </c>
      <c r="C1706" s="1" t="s">
        <v>654</v>
      </c>
    </row>
    <row r="1707" spans="2:3" ht="15">
      <c r="B1707" s="1">
        <v>18508</v>
      </c>
      <c r="C1707" s="1" t="s">
        <v>654</v>
      </c>
    </row>
    <row r="1708" spans="2:3" ht="15">
      <c r="B1708" s="1">
        <v>18509</v>
      </c>
      <c r="C1708" s="1" t="s">
        <v>654</v>
      </c>
    </row>
    <row r="1709" spans="2:3" ht="15">
      <c r="B1709" s="1">
        <v>18510</v>
      </c>
      <c r="C1709" s="1" t="s">
        <v>654</v>
      </c>
    </row>
    <row r="1710" spans="2:3" ht="15">
      <c r="B1710" s="1">
        <v>18512</v>
      </c>
      <c r="C1710" s="1" t="s">
        <v>654</v>
      </c>
    </row>
    <row r="1711" spans="2:3" ht="15">
      <c r="B1711" s="1">
        <v>18514</v>
      </c>
      <c r="C1711" s="1" t="s">
        <v>654</v>
      </c>
    </row>
    <row r="1712" spans="2:3" ht="15">
      <c r="B1712" s="1">
        <v>18515</v>
      </c>
      <c r="C1712" s="1" t="s">
        <v>654</v>
      </c>
    </row>
    <row r="1713" spans="2:3" ht="15">
      <c r="B1713" s="1">
        <v>18517</v>
      </c>
      <c r="C1713" s="1" t="s">
        <v>654</v>
      </c>
    </row>
    <row r="1714" spans="2:3" ht="15">
      <c r="B1714" s="1">
        <v>18518</v>
      </c>
      <c r="C1714" s="1" t="s">
        <v>654</v>
      </c>
    </row>
    <row r="1715" spans="2:3" ht="15">
      <c r="B1715" s="1">
        <v>18519</v>
      </c>
      <c r="C1715" s="1" t="s">
        <v>654</v>
      </c>
    </row>
    <row r="1716" spans="2:3" ht="15">
      <c r="B1716" s="1">
        <v>18522</v>
      </c>
      <c r="C1716" s="1" t="s">
        <v>654</v>
      </c>
    </row>
    <row r="1717" spans="2:3" ht="15">
      <c r="B1717" s="1">
        <v>18540</v>
      </c>
      <c r="C1717" s="1" t="s">
        <v>654</v>
      </c>
    </row>
    <row r="1718" spans="2:3" ht="15">
      <c r="B1718" s="1">
        <v>18577</v>
      </c>
      <c r="C1718" s="1" t="s">
        <v>654</v>
      </c>
    </row>
    <row r="1719" spans="2:3" ht="15">
      <c r="B1719" s="1">
        <v>18601</v>
      </c>
      <c r="C1719" s="1" t="s">
        <v>654</v>
      </c>
    </row>
    <row r="1720" spans="2:3" ht="15">
      <c r="B1720" s="1">
        <v>18602</v>
      </c>
      <c r="C1720" s="1" t="s">
        <v>654</v>
      </c>
    </row>
    <row r="1721" spans="2:3" ht="15">
      <c r="B1721" s="1">
        <v>18603</v>
      </c>
      <c r="C1721" s="1" t="s">
        <v>655</v>
      </c>
    </row>
    <row r="1722" spans="2:3" ht="15">
      <c r="B1722" s="1">
        <v>18610</v>
      </c>
      <c r="C1722" s="1" t="s">
        <v>654</v>
      </c>
    </row>
    <row r="1723" spans="2:3" ht="15">
      <c r="B1723" s="1">
        <v>18611</v>
      </c>
      <c r="C1723" s="1" t="s">
        <v>654</v>
      </c>
    </row>
    <row r="1724" spans="2:3" ht="15">
      <c r="B1724" s="1">
        <v>18612</v>
      </c>
      <c r="C1724" s="1" t="s">
        <v>654</v>
      </c>
    </row>
    <row r="1725" spans="2:3" ht="15">
      <c r="B1725" s="1">
        <v>18614</v>
      </c>
      <c r="C1725" s="1" t="s">
        <v>654</v>
      </c>
    </row>
    <row r="1726" spans="2:3" ht="15">
      <c r="B1726" s="1">
        <v>18615</v>
      </c>
      <c r="C1726" s="1" t="s">
        <v>654</v>
      </c>
    </row>
    <row r="1727" spans="2:3" ht="15">
      <c r="B1727" s="1">
        <v>18616</v>
      </c>
      <c r="C1727" s="1" t="s">
        <v>654</v>
      </c>
    </row>
    <row r="1728" spans="2:3" ht="15">
      <c r="B1728" s="1">
        <v>18617</v>
      </c>
      <c r="C1728" s="1" t="s">
        <v>654</v>
      </c>
    </row>
    <row r="1729" spans="2:3" ht="15">
      <c r="B1729" s="1">
        <v>18618</v>
      </c>
      <c r="C1729" s="1" t="s">
        <v>654</v>
      </c>
    </row>
    <row r="1730" spans="2:3" ht="15">
      <c r="B1730" s="1">
        <v>18619</v>
      </c>
      <c r="C1730" s="1" t="s">
        <v>654</v>
      </c>
    </row>
    <row r="1731" spans="2:3" ht="15">
      <c r="B1731" s="1">
        <v>18621</v>
      </c>
      <c r="C1731" s="1" t="s">
        <v>654</v>
      </c>
    </row>
    <row r="1732" spans="2:3" ht="15">
      <c r="B1732" s="1">
        <v>18622</v>
      </c>
      <c r="C1732" s="1" t="s">
        <v>654</v>
      </c>
    </row>
    <row r="1733" spans="2:3" ht="15">
      <c r="B1733" s="1">
        <v>18623</v>
      </c>
      <c r="C1733" s="1" t="s">
        <v>654</v>
      </c>
    </row>
    <row r="1734" spans="2:3" ht="15">
      <c r="B1734" s="1">
        <v>18624</v>
      </c>
      <c r="C1734" s="1" t="s">
        <v>647</v>
      </c>
    </row>
    <row r="1735" spans="2:3" ht="15">
      <c r="B1735" s="1">
        <v>18625</v>
      </c>
      <c r="C1735" s="1" t="s">
        <v>654</v>
      </c>
    </row>
    <row r="1736" spans="2:3" ht="15">
      <c r="B1736" s="1">
        <v>18626</v>
      </c>
      <c r="C1736" s="1" t="s">
        <v>654</v>
      </c>
    </row>
    <row r="1737" spans="2:3" ht="15">
      <c r="B1737" s="1">
        <v>18627</v>
      </c>
      <c r="C1737" s="1" t="s">
        <v>654</v>
      </c>
    </row>
    <row r="1738" spans="2:3" ht="15">
      <c r="B1738" s="1">
        <v>18628</v>
      </c>
      <c r="C1738" s="1" t="s">
        <v>654</v>
      </c>
    </row>
    <row r="1739" spans="2:3" ht="15">
      <c r="B1739" s="1">
        <v>18629</v>
      </c>
      <c r="C1739" s="1" t="s">
        <v>654</v>
      </c>
    </row>
    <row r="1740" spans="2:3" ht="15">
      <c r="B1740" s="1">
        <v>18630</v>
      </c>
      <c r="C1740" s="1" t="s">
        <v>654</v>
      </c>
    </row>
    <row r="1741" spans="2:3" ht="15">
      <c r="B1741" s="1">
        <v>18631</v>
      </c>
      <c r="C1741" s="1" t="s">
        <v>655</v>
      </c>
    </row>
    <row r="1742" spans="2:3" ht="15">
      <c r="B1742" s="1">
        <v>18632</v>
      </c>
      <c r="C1742" s="1" t="s">
        <v>654</v>
      </c>
    </row>
    <row r="1743" spans="2:3" ht="15">
      <c r="B1743" s="1">
        <v>18634</v>
      </c>
      <c r="C1743" s="1" t="s">
        <v>654</v>
      </c>
    </row>
    <row r="1744" spans="2:3" ht="15">
      <c r="B1744" s="1">
        <v>18635</v>
      </c>
      <c r="C1744" s="1" t="s">
        <v>654</v>
      </c>
    </row>
    <row r="1745" spans="2:3" ht="15">
      <c r="B1745" s="1">
        <v>18636</v>
      </c>
      <c r="C1745" s="1" t="s">
        <v>654</v>
      </c>
    </row>
    <row r="1746" spans="2:3" ht="15">
      <c r="B1746" s="1">
        <v>18640</v>
      </c>
      <c r="C1746" s="1" t="s">
        <v>654</v>
      </c>
    </row>
    <row r="1747" spans="2:3" ht="15">
      <c r="B1747" s="1">
        <v>18641</v>
      </c>
      <c r="C1747" s="1" t="s">
        <v>654</v>
      </c>
    </row>
    <row r="1748" spans="2:3" ht="15">
      <c r="B1748" s="1">
        <v>18642</v>
      </c>
      <c r="C1748" s="1" t="s">
        <v>654</v>
      </c>
    </row>
    <row r="1749" spans="2:3" ht="15">
      <c r="B1749" s="1">
        <v>18643</v>
      </c>
      <c r="C1749" s="1" t="s">
        <v>654</v>
      </c>
    </row>
    <row r="1750" spans="2:3" ht="15">
      <c r="B1750" s="1">
        <v>18644</v>
      </c>
      <c r="C1750" s="1" t="s">
        <v>654</v>
      </c>
    </row>
    <row r="1751" spans="2:3" ht="15">
      <c r="B1751" s="1">
        <v>18651</v>
      </c>
      <c r="C1751" s="1" t="s">
        <v>654</v>
      </c>
    </row>
    <row r="1752" spans="2:3" ht="15">
      <c r="B1752" s="1">
        <v>18653</v>
      </c>
      <c r="C1752" s="1" t="s">
        <v>654</v>
      </c>
    </row>
    <row r="1753" spans="2:3" ht="15">
      <c r="B1753" s="1">
        <v>18654</v>
      </c>
      <c r="C1753" s="1" t="s">
        <v>654</v>
      </c>
    </row>
    <row r="1754" spans="2:3" ht="15">
      <c r="B1754" s="1">
        <v>18655</v>
      </c>
      <c r="C1754" s="1" t="s">
        <v>654</v>
      </c>
    </row>
    <row r="1755" spans="2:3" ht="15">
      <c r="B1755" s="1">
        <v>18656</v>
      </c>
      <c r="C1755" s="1" t="s">
        <v>654</v>
      </c>
    </row>
    <row r="1756" spans="2:3" ht="15">
      <c r="B1756" s="1">
        <v>18657</v>
      </c>
      <c r="C1756" s="1" t="s">
        <v>654</v>
      </c>
    </row>
    <row r="1757" spans="2:3" ht="15">
      <c r="B1757" s="1">
        <v>18660</v>
      </c>
      <c r="C1757" s="1" t="s">
        <v>654</v>
      </c>
    </row>
    <row r="1758" spans="2:3" ht="15">
      <c r="B1758" s="1">
        <v>18661</v>
      </c>
      <c r="C1758" s="1" t="s">
        <v>654</v>
      </c>
    </row>
    <row r="1759" spans="2:3" ht="15">
      <c r="B1759" s="1">
        <v>18690</v>
      </c>
      <c r="C1759" s="1" t="s">
        <v>654</v>
      </c>
    </row>
    <row r="1760" spans="2:3" ht="15">
      <c r="B1760" s="1">
        <v>18701</v>
      </c>
      <c r="C1760" s="1" t="s">
        <v>654</v>
      </c>
    </row>
    <row r="1761" spans="2:3" ht="15">
      <c r="B1761" s="1">
        <v>18702</v>
      </c>
      <c r="C1761" s="1" t="s">
        <v>654</v>
      </c>
    </row>
    <row r="1762" spans="2:3" ht="15">
      <c r="B1762" s="1">
        <v>18703</v>
      </c>
      <c r="C1762" s="1" t="s">
        <v>654</v>
      </c>
    </row>
    <row r="1763" spans="2:3" ht="15">
      <c r="B1763" s="1">
        <v>18704</v>
      </c>
      <c r="C1763" s="1" t="s">
        <v>654</v>
      </c>
    </row>
    <row r="1764" spans="2:3" ht="15">
      <c r="B1764" s="1">
        <v>18705</v>
      </c>
      <c r="C1764" s="1" t="s">
        <v>654</v>
      </c>
    </row>
    <row r="1765" spans="2:3" ht="15">
      <c r="B1765" s="1">
        <v>18706</v>
      </c>
      <c r="C1765" s="1" t="s">
        <v>654</v>
      </c>
    </row>
    <row r="1766" spans="2:3" ht="15">
      <c r="B1766" s="1">
        <v>18707</v>
      </c>
      <c r="C1766" s="1" t="s">
        <v>654</v>
      </c>
    </row>
    <row r="1767" spans="2:3" ht="15">
      <c r="B1767" s="1">
        <v>18708</v>
      </c>
      <c r="C1767" s="1" t="s">
        <v>654</v>
      </c>
    </row>
    <row r="1768" spans="2:3" ht="15">
      <c r="B1768" s="1">
        <v>18709</v>
      </c>
      <c r="C1768" s="1" t="s">
        <v>654</v>
      </c>
    </row>
    <row r="1769" spans="2:3" ht="15">
      <c r="B1769" s="1">
        <v>18710</v>
      </c>
      <c r="C1769" s="1" t="s">
        <v>654</v>
      </c>
    </row>
    <row r="1770" spans="2:3" ht="15">
      <c r="B1770" s="1">
        <v>18711</v>
      </c>
      <c r="C1770" s="1" t="s">
        <v>654</v>
      </c>
    </row>
    <row r="1771" spans="2:3" ht="15">
      <c r="B1771" s="1">
        <v>18761</v>
      </c>
      <c r="C1771" s="1" t="s">
        <v>654</v>
      </c>
    </row>
    <row r="1772" spans="2:3" ht="15">
      <c r="B1772" s="1">
        <v>18762</v>
      </c>
      <c r="C1772" s="1" t="s">
        <v>654</v>
      </c>
    </row>
    <row r="1773" spans="2:3" ht="15">
      <c r="B1773" s="1">
        <v>18763</v>
      </c>
      <c r="C1773" s="1" t="s">
        <v>654</v>
      </c>
    </row>
    <row r="1774" spans="2:3" ht="15">
      <c r="B1774" s="1">
        <v>18764</v>
      </c>
      <c r="C1774" s="1" t="s">
        <v>654</v>
      </c>
    </row>
    <row r="1775" spans="2:3" ht="15">
      <c r="B1775" s="1">
        <v>18765</v>
      </c>
      <c r="C1775" s="1" t="s">
        <v>654</v>
      </c>
    </row>
    <row r="1776" spans="2:3" ht="15">
      <c r="B1776" s="1">
        <v>18766</v>
      </c>
      <c r="C1776" s="1" t="s">
        <v>654</v>
      </c>
    </row>
    <row r="1777" spans="2:3" ht="15">
      <c r="B1777" s="1">
        <v>18767</v>
      </c>
      <c r="C1777" s="1" t="s">
        <v>654</v>
      </c>
    </row>
    <row r="1778" spans="2:3" ht="15">
      <c r="B1778" s="1">
        <v>18768</v>
      </c>
      <c r="C1778" s="1" t="s">
        <v>654</v>
      </c>
    </row>
    <row r="1779" spans="2:3" ht="15">
      <c r="B1779" s="1">
        <v>18769</v>
      </c>
      <c r="C1779" s="1" t="s">
        <v>654</v>
      </c>
    </row>
    <row r="1780" spans="2:3" ht="15">
      <c r="B1780" s="1">
        <v>18773</v>
      </c>
      <c r="C1780" s="1" t="s">
        <v>654</v>
      </c>
    </row>
    <row r="1781" spans="2:3" ht="15">
      <c r="B1781" s="1">
        <v>18774</v>
      </c>
      <c r="C1781" s="1" t="s">
        <v>654</v>
      </c>
    </row>
    <row r="1782" spans="2:3" ht="15">
      <c r="B1782" s="1">
        <v>18801</v>
      </c>
      <c r="C1782" s="1" t="s">
        <v>693</v>
      </c>
    </row>
    <row r="1783" spans="2:3" ht="15">
      <c r="B1783" s="1">
        <v>18810</v>
      </c>
      <c r="C1783" s="1" t="s">
        <v>654</v>
      </c>
    </row>
    <row r="1784" spans="2:3" ht="15">
      <c r="B1784" s="1">
        <v>18812</v>
      </c>
      <c r="C1784" s="1" t="s">
        <v>693</v>
      </c>
    </row>
    <row r="1785" spans="2:3" ht="15">
      <c r="B1785" s="1">
        <v>18813</v>
      </c>
      <c r="C1785" s="1" t="s">
        <v>693</v>
      </c>
    </row>
    <row r="1786" spans="2:3" ht="15">
      <c r="B1786" s="1">
        <v>18814</v>
      </c>
      <c r="C1786" s="1" t="s">
        <v>654</v>
      </c>
    </row>
    <row r="1787" spans="2:3" ht="15">
      <c r="B1787" s="1">
        <v>18815</v>
      </c>
      <c r="C1787" s="1" t="s">
        <v>654</v>
      </c>
    </row>
    <row r="1788" spans="2:3" ht="15">
      <c r="B1788" s="1">
        <v>18816</v>
      </c>
      <c r="C1788" s="1" t="s">
        <v>693</v>
      </c>
    </row>
    <row r="1789" spans="2:3" ht="15">
      <c r="B1789" s="1">
        <v>18817</v>
      </c>
      <c r="C1789" s="1" t="s">
        <v>654</v>
      </c>
    </row>
    <row r="1790" spans="2:3" ht="15">
      <c r="B1790" s="1">
        <v>18818</v>
      </c>
      <c r="C1790" s="1" t="s">
        <v>693</v>
      </c>
    </row>
    <row r="1791" spans="2:3" ht="15">
      <c r="B1791" s="1">
        <v>18820</v>
      </c>
      <c r="C1791" s="1" t="s">
        <v>693</v>
      </c>
    </row>
    <row r="1792" spans="2:3" ht="15">
      <c r="B1792" s="1">
        <v>18821</v>
      </c>
      <c r="C1792" s="1" t="s">
        <v>693</v>
      </c>
    </row>
    <row r="1793" spans="2:3" ht="15">
      <c r="B1793" s="1">
        <v>18822</v>
      </c>
      <c r="C1793" s="1" t="s">
        <v>693</v>
      </c>
    </row>
    <row r="1794" spans="2:3" ht="15">
      <c r="B1794" s="1">
        <v>18823</v>
      </c>
      <c r="C1794" s="1" t="s">
        <v>693</v>
      </c>
    </row>
    <row r="1795" spans="2:3" ht="15">
      <c r="B1795" s="1">
        <v>18824</v>
      </c>
      <c r="C1795" s="1" t="s">
        <v>693</v>
      </c>
    </row>
    <row r="1796" spans="2:3" ht="15">
      <c r="B1796" s="1">
        <v>18825</v>
      </c>
      <c r="C1796" s="1" t="s">
        <v>693</v>
      </c>
    </row>
    <row r="1797" spans="2:3" ht="15">
      <c r="B1797" s="1">
        <v>18826</v>
      </c>
      <c r="C1797" s="1" t="s">
        <v>693</v>
      </c>
    </row>
    <row r="1798" spans="2:3" ht="15">
      <c r="B1798" s="1">
        <v>18827</v>
      </c>
      <c r="C1798" s="1" t="s">
        <v>693</v>
      </c>
    </row>
    <row r="1799" spans="2:3" ht="15">
      <c r="B1799" s="1">
        <v>18828</v>
      </c>
      <c r="C1799" s="1" t="s">
        <v>693</v>
      </c>
    </row>
    <row r="1800" spans="2:3" ht="15">
      <c r="B1800" s="1">
        <v>18829</v>
      </c>
      <c r="C1800" s="1" t="s">
        <v>654</v>
      </c>
    </row>
    <row r="1801" spans="2:3" ht="15">
      <c r="B1801" s="1">
        <v>18830</v>
      </c>
      <c r="C1801" s="1" t="s">
        <v>693</v>
      </c>
    </row>
    <row r="1802" spans="2:3" ht="15">
      <c r="B1802" s="1">
        <v>18831</v>
      </c>
      <c r="C1802" s="1" t="s">
        <v>654</v>
      </c>
    </row>
    <row r="1803" spans="2:3" ht="15">
      <c r="B1803" s="1">
        <v>18832</v>
      </c>
      <c r="C1803" s="1" t="s">
        <v>654</v>
      </c>
    </row>
    <row r="1804" spans="2:3" ht="15">
      <c r="B1804" s="1">
        <v>18833</v>
      </c>
      <c r="C1804" s="1" t="s">
        <v>654</v>
      </c>
    </row>
    <row r="1805" spans="2:3" ht="15">
      <c r="B1805" s="1">
        <v>18834</v>
      </c>
      <c r="C1805" s="1" t="s">
        <v>693</v>
      </c>
    </row>
    <row r="1806" spans="2:3" ht="15">
      <c r="B1806" s="1">
        <v>18837</v>
      </c>
      <c r="C1806" s="1" t="s">
        <v>654</v>
      </c>
    </row>
    <row r="1807" spans="2:3" ht="15">
      <c r="B1807" s="1">
        <v>18840</v>
      </c>
      <c r="C1807" s="1" t="s">
        <v>654</v>
      </c>
    </row>
    <row r="1808" spans="2:3" ht="15">
      <c r="B1808" s="1">
        <v>18842</v>
      </c>
      <c r="C1808" s="1" t="s">
        <v>693</v>
      </c>
    </row>
    <row r="1809" spans="2:3" ht="15">
      <c r="B1809" s="1">
        <v>18843</v>
      </c>
      <c r="C1809" s="1" t="s">
        <v>693</v>
      </c>
    </row>
    <row r="1810" spans="2:3" ht="15">
      <c r="B1810" s="1">
        <v>18844</v>
      </c>
      <c r="C1810" s="1" t="s">
        <v>693</v>
      </c>
    </row>
    <row r="1811" spans="2:3" ht="15">
      <c r="B1811" s="1">
        <v>18845</v>
      </c>
      <c r="C1811" s="1" t="s">
        <v>654</v>
      </c>
    </row>
    <row r="1812" spans="2:3" ht="15">
      <c r="B1812" s="1">
        <v>18846</v>
      </c>
      <c r="C1812" s="1" t="s">
        <v>654</v>
      </c>
    </row>
    <row r="1813" spans="2:3" ht="15">
      <c r="B1813" s="1">
        <v>18847</v>
      </c>
      <c r="C1813" s="1" t="s">
        <v>693</v>
      </c>
    </row>
    <row r="1814" spans="2:3" ht="15">
      <c r="B1814" s="1">
        <v>18848</v>
      </c>
      <c r="C1814" s="1" t="s">
        <v>654</v>
      </c>
    </row>
    <row r="1815" spans="2:3" ht="15">
      <c r="B1815" s="1">
        <v>18850</v>
      </c>
      <c r="C1815" s="1" t="s">
        <v>654</v>
      </c>
    </row>
    <row r="1816" spans="2:3" ht="15">
      <c r="B1816" s="1">
        <v>18851</v>
      </c>
      <c r="C1816" s="1" t="s">
        <v>654</v>
      </c>
    </row>
    <row r="1817" spans="2:3" ht="15">
      <c r="B1817" s="1">
        <v>18853</v>
      </c>
      <c r="C1817" s="1" t="s">
        <v>654</v>
      </c>
    </row>
    <row r="1818" spans="2:3" ht="15">
      <c r="B1818" s="1">
        <v>18854</v>
      </c>
      <c r="C1818" s="1" t="s">
        <v>654</v>
      </c>
    </row>
    <row r="1819" spans="2:3" ht="15">
      <c r="B1819" s="1">
        <v>18901</v>
      </c>
      <c r="C1819" s="1" t="s">
        <v>652</v>
      </c>
    </row>
    <row r="1820" spans="2:3" ht="15">
      <c r="B1820" s="1">
        <v>18902</v>
      </c>
      <c r="C1820" s="1" t="s">
        <v>652</v>
      </c>
    </row>
    <row r="1821" spans="2:3" ht="15">
      <c r="B1821" s="1">
        <v>18910</v>
      </c>
      <c r="C1821" s="1" t="s">
        <v>652</v>
      </c>
    </row>
    <row r="1822" spans="2:3" ht="15">
      <c r="B1822" s="1">
        <v>18911</v>
      </c>
      <c r="C1822" s="1" t="s">
        <v>652</v>
      </c>
    </row>
    <row r="1823" spans="2:3" ht="15">
      <c r="B1823" s="1">
        <v>18912</v>
      </c>
      <c r="C1823" s="1" t="s">
        <v>652</v>
      </c>
    </row>
    <row r="1824" spans="2:3" ht="15">
      <c r="B1824" s="1">
        <v>18913</v>
      </c>
      <c r="C1824" s="1" t="s">
        <v>652</v>
      </c>
    </row>
    <row r="1825" spans="2:3" ht="15">
      <c r="B1825" s="1">
        <v>18914</v>
      </c>
      <c r="C1825" s="1" t="s">
        <v>652</v>
      </c>
    </row>
    <row r="1826" spans="2:3" ht="15">
      <c r="B1826" s="1">
        <v>18915</v>
      </c>
      <c r="C1826" s="1" t="s">
        <v>652</v>
      </c>
    </row>
    <row r="1827" spans="2:3" ht="15">
      <c r="B1827" s="1">
        <v>18916</v>
      </c>
      <c r="C1827" s="1" t="s">
        <v>652</v>
      </c>
    </row>
    <row r="1828" spans="2:3" ht="15">
      <c r="B1828" s="1">
        <v>18917</v>
      </c>
      <c r="C1828" s="1" t="s">
        <v>652</v>
      </c>
    </row>
    <row r="1829" spans="2:3" ht="15">
      <c r="B1829" s="1">
        <v>18918</v>
      </c>
      <c r="C1829" s="1" t="s">
        <v>652</v>
      </c>
    </row>
    <row r="1830" spans="2:3" ht="15">
      <c r="B1830" s="1">
        <v>18920</v>
      </c>
      <c r="C1830" s="1" t="s">
        <v>652</v>
      </c>
    </row>
    <row r="1831" spans="2:3" ht="15">
      <c r="B1831" s="1">
        <v>18921</v>
      </c>
      <c r="C1831" s="1" t="s">
        <v>652</v>
      </c>
    </row>
    <row r="1832" spans="2:3" ht="15">
      <c r="B1832" s="1">
        <v>18922</v>
      </c>
      <c r="C1832" s="1" t="s">
        <v>652</v>
      </c>
    </row>
    <row r="1833" spans="2:3" ht="15">
      <c r="B1833" s="1">
        <v>18923</v>
      </c>
      <c r="C1833" s="1" t="s">
        <v>652</v>
      </c>
    </row>
    <row r="1834" spans="2:3" ht="15">
      <c r="B1834" s="1">
        <v>18924</v>
      </c>
      <c r="C1834" s="1" t="s">
        <v>652</v>
      </c>
    </row>
    <row r="1835" spans="2:3" ht="15">
      <c r="B1835" s="1">
        <v>18925</v>
      </c>
      <c r="C1835" s="1" t="s">
        <v>652</v>
      </c>
    </row>
    <row r="1836" spans="2:3" ht="15">
      <c r="B1836" s="1">
        <v>18926</v>
      </c>
      <c r="C1836" s="1" t="s">
        <v>652</v>
      </c>
    </row>
    <row r="1837" spans="2:3" ht="15">
      <c r="B1837" s="1">
        <v>18927</v>
      </c>
      <c r="C1837" s="1" t="s">
        <v>652</v>
      </c>
    </row>
    <row r="1838" spans="2:3" ht="15">
      <c r="B1838" s="1">
        <v>18928</v>
      </c>
      <c r="C1838" s="1" t="s">
        <v>652</v>
      </c>
    </row>
    <row r="1839" spans="2:3" ht="15">
      <c r="B1839" s="1">
        <v>18929</v>
      </c>
      <c r="C1839" s="1" t="s">
        <v>652</v>
      </c>
    </row>
    <row r="1840" spans="2:3" ht="15">
      <c r="B1840" s="1">
        <v>18930</v>
      </c>
      <c r="C1840" s="1" t="s">
        <v>652</v>
      </c>
    </row>
    <row r="1841" spans="2:3" ht="15">
      <c r="B1841" s="1">
        <v>18931</v>
      </c>
      <c r="C1841" s="1" t="s">
        <v>652</v>
      </c>
    </row>
    <row r="1842" spans="2:3" ht="15">
      <c r="B1842" s="1">
        <v>18932</v>
      </c>
      <c r="C1842" s="1" t="s">
        <v>652</v>
      </c>
    </row>
    <row r="1843" spans="2:3" ht="15">
      <c r="B1843" s="1">
        <v>18933</v>
      </c>
      <c r="C1843" s="1" t="s">
        <v>652</v>
      </c>
    </row>
    <row r="1844" spans="2:3" ht="15">
      <c r="B1844" s="1">
        <v>18934</v>
      </c>
      <c r="C1844" s="1" t="s">
        <v>652</v>
      </c>
    </row>
    <row r="1845" spans="2:3" ht="15">
      <c r="B1845" s="1">
        <v>18935</v>
      </c>
      <c r="C1845" s="1" t="s">
        <v>652</v>
      </c>
    </row>
    <row r="1846" spans="2:3" ht="15">
      <c r="B1846" s="1">
        <v>18936</v>
      </c>
      <c r="C1846" s="1" t="s">
        <v>652</v>
      </c>
    </row>
    <row r="1847" spans="2:3" ht="15">
      <c r="B1847" s="1">
        <v>18938</v>
      </c>
      <c r="C1847" s="1" t="s">
        <v>652</v>
      </c>
    </row>
    <row r="1848" spans="2:3" ht="15">
      <c r="B1848" s="1">
        <v>18940</v>
      </c>
      <c r="C1848" s="1" t="s">
        <v>652</v>
      </c>
    </row>
    <row r="1849" spans="2:3" ht="15">
      <c r="B1849" s="1">
        <v>18942</v>
      </c>
      <c r="C1849" s="1" t="s">
        <v>652</v>
      </c>
    </row>
    <row r="1850" spans="2:3" ht="15">
      <c r="B1850" s="1">
        <v>18943</v>
      </c>
      <c r="C1850" s="1" t="s">
        <v>652</v>
      </c>
    </row>
    <row r="1851" spans="2:3" ht="15">
      <c r="B1851" s="1">
        <v>18944</v>
      </c>
      <c r="C1851" s="1" t="s">
        <v>652</v>
      </c>
    </row>
    <row r="1852" spans="2:3" ht="15">
      <c r="B1852" s="1">
        <v>18946</v>
      </c>
      <c r="C1852" s="1" t="s">
        <v>652</v>
      </c>
    </row>
    <row r="1853" spans="2:3" ht="15">
      <c r="B1853" s="1">
        <v>18947</v>
      </c>
      <c r="C1853" s="1" t="s">
        <v>652</v>
      </c>
    </row>
    <row r="1854" spans="2:3" ht="15">
      <c r="B1854" s="1">
        <v>18949</v>
      </c>
      <c r="C1854" s="1" t="s">
        <v>652</v>
      </c>
    </row>
    <row r="1855" spans="2:3" ht="15">
      <c r="B1855" s="1">
        <v>18950</v>
      </c>
      <c r="C1855" s="1" t="s">
        <v>652</v>
      </c>
    </row>
    <row r="1856" spans="2:3" ht="15">
      <c r="B1856" s="1">
        <v>18951</v>
      </c>
      <c r="C1856" s="1" t="s">
        <v>652</v>
      </c>
    </row>
    <row r="1857" spans="2:3" ht="15">
      <c r="B1857" s="1">
        <v>18953</v>
      </c>
      <c r="C1857" s="1" t="s">
        <v>652</v>
      </c>
    </row>
    <row r="1858" spans="2:3" ht="15">
      <c r="B1858" s="1">
        <v>18954</v>
      </c>
      <c r="C1858" s="1" t="s">
        <v>652</v>
      </c>
    </row>
    <row r="1859" spans="2:3" ht="15">
      <c r="B1859" s="1">
        <v>18955</v>
      </c>
      <c r="C1859" s="1" t="s">
        <v>652</v>
      </c>
    </row>
    <row r="1860" spans="2:3" ht="15">
      <c r="B1860" s="1">
        <v>18956</v>
      </c>
      <c r="C1860" s="1" t="s">
        <v>652</v>
      </c>
    </row>
    <row r="1861" spans="2:3" ht="15">
      <c r="B1861" s="1">
        <v>18957</v>
      </c>
      <c r="C1861" s="1" t="s">
        <v>652</v>
      </c>
    </row>
    <row r="1862" spans="2:3" ht="15">
      <c r="B1862" s="1">
        <v>18958</v>
      </c>
      <c r="C1862" s="1" t="s">
        <v>652</v>
      </c>
    </row>
    <row r="1863" spans="2:3" ht="15">
      <c r="B1863" s="1">
        <v>18960</v>
      </c>
      <c r="C1863" s="1" t="s">
        <v>652</v>
      </c>
    </row>
    <row r="1864" spans="2:3" ht="15">
      <c r="B1864" s="1">
        <v>18962</v>
      </c>
      <c r="C1864" s="1" t="s">
        <v>652</v>
      </c>
    </row>
    <row r="1865" spans="2:3" ht="15">
      <c r="B1865" s="1">
        <v>18963</v>
      </c>
      <c r="C1865" s="1" t="s">
        <v>652</v>
      </c>
    </row>
    <row r="1866" spans="2:3" ht="15">
      <c r="B1866" s="1">
        <v>18964</v>
      </c>
      <c r="C1866" s="1" t="s">
        <v>652</v>
      </c>
    </row>
    <row r="1867" spans="2:3" ht="15">
      <c r="B1867" s="1">
        <v>18966</v>
      </c>
      <c r="C1867" s="1" t="s">
        <v>652</v>
      </c>
    </row>
    <row r="1868" spans="2:3" ht="15">
      <c r="B1868" s="1">
        <v>18968</v>
      </c>
      <c r="C1868" s="1" t="s">
        <v>652</v>
      </c>
    </row>
    <row r="1869" spans="2:3" ht="15">
      <c r="B1869" s="1">
        <v>18969</v>
      </c>
      <c r="C1869" s="1" t="s">
        <v>652</v>
      </c>
    </row>
    <row r="1870" spans="2:3" ht="15">
      <c r="B1870" s="1">
        <v>18970</v>
      </c>
      <c r="C1870" s="1" t="s">
        <v>652</v>
      </c>
    </row>
    <row r="1871" spans="2:3" ht="15">
      <c r="B1871" s="1">
        <v>18971</v>
      </c>
      <c r="C1871" s="1" t="s">
        <v>652</v>
      </c>
    </row>
    <row r="1872" spans="2:3" ht="15">
      <c r="B1872" s="1">
        <v>18972</v>
      </c>
      <c r="C1872" s="1" t="s">
        <v>652</v>
      </c>
    </row>
    <row r="1873" spans="2:3" ht="15">
      <c r="B1873" s="1">
        <v>18974</v>
      </c>
      <c r="C1873" s="1" t="s">
        <v>652</v>
      </c>
    </row>
    <row r="1874" spans="2:3" ht="15">
      <c r="B1874" s="1">
        <v>18976</v>
      </c>
      <c r="C1874" s="1" t="s">
        <v>652</v>
      </c>
    </row>
    <row r="1875" spans="2:3" ht="15">
      <c r="B1875" s="1">
        <v>18977</v>
      </c>
      <c r="C1875" s="1" t="s">
        <v>652</v>
      </c>
    </row>
    <row r="1876" spans="2:3" ht="15">
      <c r="B1876" s="1">
        <v>18979</v>
      </c>
      <c r="C1876" s="1" t="s">
        <v>652</v>
      </c>
    </row>
    <row r="1877" spans="2:3" ht="15">
      <c r="B1877" s="1">
        <v>18980</v>
      </c>
      <c r="C1877" s="1" t="s">
        <v>652</v>
      </c>
    </row>
    <row r="1878" spans="2:3" ht="15">
      <c r="B1878" s="1">
        <v>18981</v>
      </c>
      <c r="C1878" s="1" t="s">
        <v>652</v>
      </c>
    </row>
    <row r="1879" spans="2:3" ht="15">
      <c r="B1879" s="1">
        <v>18991</v>
      </c>
      <c r="C1879" s="1" t="s">
        <v>652</v>
      </c>
    </row>
    <row r="1880" spans="2:3" ht="15">
      <c r="B1880" s="1">
        <v>19001</v>
      </c>
      <c r="C1880" s="1" t="s">
        <v>652</v>
      </c>
    </row>
    <row r="1881" spans="2:3" ht="15">
      <c r="B1881" s="1">
        <v>19002</v>
      </c>
      <c r="C1881" s="1" t="s">
        <v>652</v>
      </c>
    </row>
    <row r="1882" spans="2:3" ht="15">
      <c r="B1882" s="1">
        <v>19003</v>
      </c>
      <c r="C1882" s="1" t="s">
        <v>652</v>
      </c>
    </row>
    <row r="1883" spans="2:3" ht="15">
      <c r="B1883" s="1">
        <v>19004</v>
      </c>
      <c r="C1883" s="1" t="s">
        <v>652</v>
      </c>
    </row>
    <row r="1884" spans="2:3" ht="15">
      <c r="B1884" s="1">
        <v>19006</v>
      </c>
      <c r="C1884" s="1" t="s">
        <v>652</v>
      </c>
    </row>
    <row r="1885" spans="2:3" ht="15">
      <c r="B1885" s="1">
        <v>19007</v>
      </c>
      <c r="C1885" s="1" t="s">
        <v>652</v>
      </c>
    </row>
    <row r="1886" spans="2:3" ht="15">
      <c r="B1886" s="1">
        <v>19008</v>
      </c>
      <c r="C1886" s="1" t="s">
        <v>652</v>
      </c>
    </row>
    <row r="1887" spans="2:3" ht="15">
      <c r="B1887" s="1">
        <v>19009</v>
      </c>
      <c r="C1887" s="1" t="s">
        <v>652</v>
      </c>
    </row>
    <row r="1888" spans="2:3" ht="15">
      <c r="B1888" s="1">
        <v>19010</v>
      </c>
      <c r="C1888" s="1" t="s">
        <v>652</v>
      </c>
    </row>
    <row r="1889" spans="2:3" ht="15">
      <c r="B1889" s="1">
        <v>19012</v>
      </c>
      <c r="C1889" s="1" t="s">
        <v>652</v>
      </c>
    </row>
    <row r="1890" spans="2:3" ht="15">
      <c r="B1890" s="1">
        <v>19013</v>
      </c>
      <c r="C1890" s="1" t="s">
        <v>652</v>
      </c>
    </row>
    <row r="1891" spans="2:3" ht="15">
      <c r="B1891" s="1">
        <v>19014</v>
      </c>
      <c r="C1891" s="1" t="s">
        <v>652</v>
      </c>
    </row>
    <row r="1892" spans="2:3" ht="15">
      <c r="B1892" s="1">
        <v>19015</v>
      </c>
      <c r="C1892" s="1" t="s">
        <v>652</v>
      </c>
    </row>
    <row r="1893" spans="2:3" ht="15">
      <c r="B1893" s="1">
        <v>19016</v>
      </c>
      <c r="C1893" s="1" t="s">
        <v>652</v>
      </c>
    </row>
    <row r="1894" spans="2:3" ht="15">
      <c r="B1894" s="1">
        <v>19017</v>
      </c>
      <c r="C1894" s="1" t="s">
        <v>652</v>
      </c>
    </row>
    <row r="1895" spans="2:3" ht="15">
      <c r="B1895" s="1">
        <v>19018</v>
      </c>
      <c r="C1895" s="1" t="s">
        <v>652</v>
      </c>
    </row>
    <row r="1896" spans="2:3" ht="15">
      <c r="B1896" s="1">
        <v>19019</v>
      </c>
      <c r="C1896" s="1" t="s">
        <v>652</v>
      </c>
    </row>
    <row r="1897" spans="2:3" ht="15">
      <c r="B1897" s="1">
        <v>19020</v>
      </c>
      <c r="C1897" s="1" t="s">
        <v>652</v>
      </c>
    </row>
    <row r="1898" spans="2:3" ht="15">
      <c r="B1898" s="1">
        <v>19021</v>
      </c>
      <c r="C1898" s="1" t="s">
        <v>652</v>
      </c>
    </row>
    <row r="1899" spans="2:3" ht="15">
      <c r="B1899" s="1">
        <v>19022</v>
      </c>
      <c r="C1899" s="1" t="s">
        <v>652</v>
      </c>
    </row>
    <row r="1900" spans="2:3" ht="15">
      <c r="B1900" s="1">
        <v>19023</v>
      </c>
      <c r="C1900" s="1" t="s">
        <v>652</v>
      </c>
    </row>
    <row r="1901" spans="2:3" ht="15">
      <c r="B1901" s="1">
        <v>19025</v>
      </c>
      <c r="C1901" s="1" t="s">
        <v>652</v>
      </c>
    </row>
    <row r="1902" spans="2:3" ht="15">
      <c r="B1902" s="1">
        <v>19026</v>
      </c>
      <c r="C1902" s="1" t="s">
        <v>652</v>
      </c>
    </row>
    <row r="1903" spans="2:3" ht="15">
      <c r="B1903" s="1">
        <v>19027</v>
      </c>
      <c r="C1903" s="1" t="s">
        <v>652</v>
      </c>
    </row>
    <row r="1904" spans="2:3" ht="15">
      <c r="B1904" s="1">
        <v>19028</v>
      </c>
      <c r="C1904" s="1" t="s">
        <v>652</v>
      </c>
    </row>
    <row r="1905" spans="2:3" ht="15">
      <c r="B1905" s="1">
        <v>19029</v>
      </c>
      <c r="C1905" s="1" t="s">
        <v>652</v>
      </c>
    </row>
    <row r="1906" spans="2:3" ht="15">
      <c r="B1906" s="1">
        <v>19030</v>
      </c>
      <c r="C1906" s="1" t="s">
        <v>652</v>
      </c>
    </row>
    <row r="1907" spans="2:3" ht="15">
      <c r="B1907" s="1">
        <v>19031</v>
      </c>
      <c r="C1907" s="1" t="s">
        <v>652</v>
      </c>
    </row>
    <row r="1908" spans="2:3" ht="15">
      <c r="B1908" s="1">
        <v>19032</v>
      </c>
      <c r="C1908" s="1" t="s">
        <v>652</v>
      </c>
    </row>
    <row r="1909" spans="2:3" ht="15">
      <c r="B1909" s="1">
        <v>19033</v>
      </c>
      <c r="C1909" s="1" t="s">
        <v>652</v>
      </c>
    </row>
    <row r="1910" spans="2:3" ht="15">
      <c r="B1910" s="1">
        <v>19034</v>
      </c>
      <c r="C1910" s="1" t="s">
        <v>652</v>
      </c>
    </row>
    <row r="1911" spans="2:3" ht="15">
      <c r="B1911" s="1">
        <v>19035</v>
      </c>
      <c r="C1911" s="1" t="s">
        <v>652</v>
      </c>
    </row>
    <row r="1912" spans="2:3" ht="15">
      <c r="B1912" s="1">
        <v>19036</v>
      </c>
      <c r="C1912" s="1" t="s">
        <v>652</v>
      </c>
    </row>
    <row r="1913" spans="2:3" ht="15">
      <c r="B1913" s="1">
        <v>19037</v>
      </c>
      <c r="C1913" s="1" t="s">
        <v>652</v>
      </c>
    </row>
    <row r="1914" spans="2:3" ht="15">
      <c r="B1914" s="1">
        <v>19038</v>
      </c>
      <c r="C1914" s="1" t="s">
        <v>652</v>
      </c>
    </row>
    <row r="1915" spans="2:3" ht="15">
      <c r="B1915" s="1">
        <v>19039</v>
      </c>
      <c r="C1915" s="1" t="s">
        <v>652</v>
      </c>
    </row>
    <row r="1916" spans="2:3" ht="15">
      <c r="B1916" s="1">
        <v>19040</v>
      </c>
      <c r="C1916" s="1" t="s">
        <v>652</v>
      </c>
    </row>
    <row r="1917" spans="2:3" ht="15">
      <c r="B1917" s="1">
        <v>19041</v>
      </c>
      <c r="C1917" s="1" t="s">
        <v>652</v>
      </c>
    </row>
    <row r="1918" spans="2:3" ht="15">
      <c r="B1918" s="1">
        <v>19043</v>
      </c>
      <c r="C1918" s="1" t="s">
        <v>652</v>
      </c>
    </row>
    <row r="1919" spans="2:3" ht="15">
      <c r="B1919" s="1">
        <v>19044</v>
      </c>
      <c r="C1919" s="1" t="s">
        <v>652</v>
      </c>
    </row>
    <row r="1920" spans="2:3" ht="15">
      <c r="B1920" s="1">
        <v>19046</v>
      </c>
      <c r="C1920" s="1" t="s">
        <v>652</v>
      </c>
    </row>
    <row r="1921" spans="2:3" ht="15">
      <c r="B1921" s="1">
        <v>19047</v>
      </c>
      <c r="C1921" s="1" t="s">
        <v>652</v>
      </c>
    </row>
    <row r="1922" spans="2:3" ht="15">
      <c r="B1922" s="1">
        <v>19048</v>
      </c>
      <c r="C1922" s="1" t="s">
        <v>652</v>
      </c>
    </row>
    <row r="1923" spans="2:3" ht="15">
      <c r="B1923" s="1">
        <v>19049</v>
      </c>
      <c r="C1923" s="1" t="s">
        <v>652</v>
      </c>
    </row>
    <row r="1924" spans="2:3" ht="15">
      <c r="B1924" s="1">
        <v>19050</v>
      </c>
      <c r="C1924" s="1" t="s">
        <v>652</v>
      </c>
    </row>
    <row r="1925" spans="2:3" ht="15">
      <c r="B1925" s="1">
        <v>19052</v>
      </c>
      <c r="C1925" s="1" t="s">
        <v>652</v>
      </c>
    </row>
    <row r="1926" spans="2:3" ht="15">
      <c r="B1926" s="1">
        <v>19053</v>
      </c>
      <c r="C1926" s="1" t="s">
        <v>652</v>
      </c>
    </row>
    <row r="1927" spans="2:3" ht="15">
      <c r="B1927" s="1">
        <v>19054</v>
      </c>
      <c r="C1927" s="1" t="s">
        <v>652</v>
      </c>
    </row>
    <row r="1928" spans="2:3" ht="15">
      <c r="B1928" s="1">
        <v>19055</v>
      </c>
      <c r="C1928" s="1" t="s">
        <v>652</v>
      </c>
    </row>
    <row r="1929" spans="2:3" ht="15">
      <c r="B1929" s="1">
        <v>19056</v>
      </c>
      <c r="C1929" s="1" t="s">
        <v>652</v>
      </c>
    </row>
    <row r="1930" spans="2:3" ht="15">
      <c r="B1930" s="1">
        <v>19057</v>
      </c>
      <c r="C1930" s="1" t="s">
        <v>652</v>
      </c>
    </row>
    <row r="1931" spans="2:3" ht="15">
      <c r="B1931" s="1">
        <v>19058</v>
      </c>
      <c r="C1931" s="1" t="s">
        <v>652</v>
      </c>
    </row>
    <row r="1932" spans="2:3" ht="15">
      <c r="B1932" s="1">
        <v>19059</v>
      </c>
      <c r="C1932" s="1" t="s">
        <v>652</v>
      </c>
    </row>
    <row r="1933" spans="2:3" ht="15">
      <c r="B1933" s="1">
        <v>19060</v>
      </c>
      <c r="C1933" s="1" t="s">
        <v>652</v>
      </c>
    </row>
    <row r="1934" spans="2:3" ht="15">
      <c r="B1934" s="1">
        <v>19061</v>
      </c>
      <c r="C1934" s="1" t="s">
        <v>652</v>
      </c>
    </row>
    <row r="1935" spans="2:3" ht="15">
      <c r="B1935" s="1">
        <v>19063</v>
      </c>
      <c r="C1935" s="1" t="s">
        <v>652</v>
      </c>
    </row>
    <row r="1936" spans="2:3" ht="15">
      <c r="B1936" s="1">
        <v>19064</v>
      </c>
      <c r="C1936" s="1" t="s">
        <v>652</v>
      </c>
    </row>
    <row r="1937" spans="2:3" ht="15">
      <c r="B1937" s="1">
        <v>19065</v>
      </c>
      <c r="C1937" s="1" t="s">
        <v>652</v>
      </c>
    </row>
    <row r="1938" spans="2:3" ht="15">
      <c r="B1938" s="1">
        <v>19066</v>
      </c>
      <c r="C1938" s="1" t="s">
        <v>652</v>
      </c>
    </row>
    <row r="1939" spans="2:3" ht="15">
      <c r="B1939" s="1">
        <v>19067</v>
      </c>
      <c r="C1939" s="1" t="s">
        <v>652</v>
      </c>
    </row>
    <row r="1940" spans="2:3" ht="15">
      <c r="B1940" s="1">
        <v>19070</v>
      </c>
      <c r="C1940" s="1" t="s">
        <v>652</v>
      </c>
    </row>
    <row r="1941" spans="2:3" ht="15">
      <c r="B1941" s="1">
        <v>19072</v>
      </c>
      <c r="C1941" s="1" t="s">
        <v>652</v>
      </c>
    </row>
    <row r="1942" spans="2:3" ht="15">
      <c r="B1942" s="1">
        <v>19073</v>
      </c>
      <c r="C1942" s="1" t="s">
        <v>652</v>
      </c>
    </row>
    <row r="1943" spans="2:3" ht="15">
      <c r="B1943" s="1">
        <v>19074</v>
      </c>
      <c r="C1943" s="1" t="s">
        <v>652</v>
      </c>
    </row>
    <row r="1944" spans="2:3" ht="15">
      <c r="B1944" s="1">
        <v>19075</v>
      </c>
      <c r="C1944" s="1" t="s">
        <v>652</v>
      </c>
    </row>
    <row r="1945" spans="2:3" ht="15">
      <c r="B1945" s="1">
        <v>19076</v>
      </c>
      <c r="C1945" s="1" t="s">
        <v>652</v>
      </c>
    </row>
    <row r="1946" spans="2:3" ht="15">
      <c r="B1946" s="1">
        <v>19078</v>
      </c>
      <c r="C1946" s="1" t="s">
        <v>652</v>
      </c>
    </row>
    <row r="1947" spans="2:3" ht="15">
      <c r="B1947" s="1">
        <v>19079</v>
      </c>
      <c r="C1947" s="1" t="s">
        <v>652</v>
      </c>
    </row>
    <row r="1948" spans="2:3" ht="15">
      <c r="B1948" s="1">
        <v>19080</v>
      </c>
      <c r="C1948" s="1" t="s">
        <v>652</v>
      </c>
    </row>
    <row r="1949" spans="2:3" ht="15">
      <c r="B1949" s="1">
        <v>19081</v>
      </c>
      <c r="C1949" s="1" t="s">
        <v>652</v>
      </c>
    </row>
    <row r="1950" spans="2:3" ht="15">
      <c r="B1950" s="1">
        <v>19082</v>
      </c>
      <c r="C1950" s="1" t="s">
        <v>652</v>
      </c>
    </row>
    <row r="1951" spans="2:3" ht="15">
      <c r="B1951" s="1">
        <v>19083</v>
      </c>
      <c r="C1951" s="1" t="s">
        <v>652</v>
      </c>
    </row>
    <row r="1952" spans="2:3" ht="15">
      <c r="B1952" s="1">
        <v>19085</v>
      </c>
      <c r="C1952" s="1" t="s">
        <v>652</v>
      </c>
    </row>
    <row r="1953" spans="2:3" ht="15">
      <c r="B1953" s="1">
        <v>19086</v>
      </c>
      <c r="C1953" s="1" t="s">
        <v>652</v>
      </c>
    </row>
    <row r="1954" spans="2:3" ht="15">
      <c r="B1954" s="1">
        <v>19087</v>
      </c>
      <c r="C1954" s="1" t="s">
        <v>652</v>
      </c>
    </row>
    <row r="1955" spans="2:3" ht="15">
      <c r="B1955" s="1">
        <v>19088</v>
      </c>
      <c r="C1955" s="1" t="s">
        <v>652</v>
      </c>
    </row>
    <row r="1956" spans="2:3" ht="15">
      <c r="B1956" s="1">
        <v>19089</v>
      </c>
      <c r="C1956" s="1" t="s">
        <v>652</v>
      </c>
    </row>
    <row r="1957" spans="2:3" ht="15">
      <c r="B1957" s="1">
        <v>19090</v>
      </c>
      <c r="C1957" s="1" t="s">
        <v>652</v>
      </c>
    </row>
    <row r="1958" spans="2:3" ht="15">
      <c r="B1958" s="1">
        <v>19091</v>
      </c>
      <c r="C1958" s="1" t="s">
        <v>652</v>
      </c>
    </row>
    <row r="1959" spans="2:3" ht="15">
      <c r="B1959" s="1">
        <v>19092</v>
      </c>
      <c r="C1959" s="1" t="s">
        <v>652</v>
      </c>
    </row>
    <row r="1960" spans="2:3" ht="15">
      <c r="B1960" s="1">
        <v>19093</v>
      </c>
      <c r="C1960" s="1" t="s">
        <v>652</v>
      </c>
    </row>
    <row r="1961" spans="2:3" ht="15">
      <c r="B1961" s="1">
        <v>19094</v>
      </c>
      <c r="C1961" s="1" t="s">
        <v>652</v>
      </c>
    </row>
    <row r="1962" spans="2:3" ht="15">
      <c r="B1962" s="1">
        <v>19095</v>
      </c>
      <c r="C1962" s="1" t="s">
        <v>652</v>
      </c>
    </row>
    <row r="1963" spans="2:3" ht="15">
      <c r="B1963" s="1">
        <v>19096</v>
      </c>
      <c r="C1963" s="1" t="s">
        <v>652</v>
      </c>
    </row>
    <row r="1964" spans="2:3" ht="15">
      <c r="B1964" s="1">
        <v>19098</v>
      </c>
      <c r="C1964" s="1" t="s">
        <v>652</v>
      </c>
    </row>
    <row r="1965" spans="2:3" ht="15">
      <c r="B1965" s="1">
        <v>19099</v>
      </c>
      <c r="C1965" s="1" t="s">
        <v>652</v>
      </c>
    </row>
    <row r="1966" spans="2:3" ht="15">
      <c r="B1966" s="1">
        <v>19101</v>
      </c>
      <c r="C1966" s="1" t="s">
        <v>652</v>
      </c>
    </row>
    <row r="1967" spans="2:3" ht="15">
      <c r="B1967" s="1">
        <v>19102</v>
      </c>
      <c r="C1967" s="1" t="s">
        <v>652</v>
      </c>
    </row>
    <row r="1968" spans="2:3" ht="15">
      <c r="B1968" s="1">
        <v>19103</v>
      </c>
      <c r="C1968" s="1" t="s">
        <v>652</v>
      </c>
    </row>
    <row r="1969" spans="2:3" ht="15">
      <c r="B1969" s="1">
        <v>19104</v>
      </c>
      <c r="C1969" s="1" t="s">
        <v>652</v>
      </c>
    </row>
    <row r="1970" spans="2:3" ht="15">
      <c r="B1970" s="1">
        <v>19105</v>
      </c>
      <c r="C1970" s="1" t="s">
        <v>652</v>
      </c>
    </row>
    <row r="1971" spans="2:3" ht="15">
      <c r="B1971" s="1">
        <v>19106</v>
      </c>
      <c r="C1971" s="1" t="s">
        <v>652</v>
      </c>
    </row>
    <row r="1972" spans="2:3" ht="15">
      <c r="B1972" s="1">
        <v>19107</v>
      </c>
      <c r="C1972" s="1" t="s">
        <v>652</v>
      </c>
    </row>
    <row r="1973" spans="2:3" ht="15">
      <c r="B1973" s="1">
        <v>19108</v>
      </c>
      <c r="C1973" s="1" t="s">
        <v>652</v>
      </c>
    </row>
    <row r="1974" spans="2:3" ht="15">
      <c r="B1974" s="1">
        <v>19109</v>
      </c>
      <c r="C1974" s="1" t="s">
        <v>652</v>
      </c>
    </row>
    <row r="1975" spans="2:3" ht="15">
      <c r="B1975" s="1">
        <v>19110</v>
      </c>
      <c r="C1975" s="1" t="s">
        <v>652</v>
      </c>
    </row>
    <row r="1976" spans="2:3" ht="15">
      <c r="B1976" s="1">
        <v>19111</v>
      </c>
      <c r="C1976" s="1" t="s">
        <v>652</v>
      </c>
    </row>
    <row r="1977" spans="2:3" ht="15">
      <c r="B1977" s="1">
        <v>19112</v>
      </c>
      <c r="C1977" s="1" t="s">
        <v>652</v>
      </c>
    </row>
    <row r="1978" spans="2:3" ht="15">
      <c r="B1978" s="1">
        <v>19113</v>
      </c>
      <c r="C1978" s="1" t="s">
        <v>652</v>
      </c>
    </row>
    <row r="1979" spans="2:3" ht="15">
      <c r="B1979" s="1">
        <v>19114</v>
      </c>
      <c r="C1979" s="1" t="s">
        <v>652</v>
      </c>
    </row>
    <row r="1980" spans="2:3" ht="15">
      <c r="B1980" s="1">
        <v>19115</v>
      </c>
      <c r="C1980" s="1" t="s">
        <v>652</v>
      </c>
    </row>
    <row r="1981" spans="2:3" ht="15">
      <c r="B1981" s="1">
        <v>19116</v>
      </c>
      <c r="C1981" s="1" t="s">
        <v>652</v>
      </c>
    </row>
    <row r="1982" spans="2:3" ht="15">
      <c r="B1982" s="1">
        <v>19118</v>
      </c>
      <c r="C1982" s="1" t="s">
        <v>652</v>
      </c>
    </row>
    <row r="1983" spans="2:3" ht="15">
      <c r="B1983" s="1">
        <v>19119</v>
      </c>
      <c r="C1983" s="1" t="s">
        <v>652</v>
      </c>
    </row>
    <row r="1984" spans="2:3" ht="15">
      <c r="B1984" s="1">
        <v>19120</v>
      </c>
      <c r="C1984" s="1" t="s">
        <v>652</v>
      </c>
    </row>
    <row r="1985" spans="2:3" ht="15">
      <c r="B1985" s="1">
        <v>19121</v>
      </c>
      <c r="C1985" s="1" t="s">
        <v>652</v>
      </c>
    </row>
    <row r="1986" spans="2:3" ht="15">
      <c r="B1986" s="1">
        <v>19122</v>
      </c>
      <c r="C1986" s="1" t="s">
        <v>652</v>
      </c>
    </row>
    <row r="1987" spans="2:3" ht="15">
      <c r="B1987" s="1">
        <v>19123</v>
      </c>
      <c r="C1987" s="1" t="s">
        <v>652</v>
      </c>
    </row>
    <row r="1988" spans="2:3" ht="15">
      <c r="B1988" s="1">
        <v>19124</v>
      </c>
      <c r="C1988" s="1" t="s">
        <v>652</v>
      </c>
    </row>
    <row r="1989" spans="2:3" ht="15">
      <c r="B1989" s="1">
        <v>19125</v>
      </c>
      <c r="C1989" s="1" t="s">
        <v>652</v>
      </c>
    </row>
    <row r="1990" spans="2:3" ht="15">
      <c r="B1990" s="1">
        <v>19126</v>
      </c>
      <c r="C1990" s="1" t="s">
        <v>652</v>
      </c>
    </row>
    <row r="1991" spans="2:3" ht="15">
      <c r="B1991" s="1">
        <v>19127</v>
      </c>
      <c r="C1991" s="1" t="s">
        <v>652</v>
      </c>
    </row>
    <row r="1992" spans="2:3" ht="15">
      <c r="B1992" s="1">
        <v>19128</v>
      </c>
      <c r="C1992" s="1" t="s">
        <v>652</v>
      </c>
    </row>
    <row r="1993" spans="2:3" ht="15">
      <c r="B1993" s="1">
        <v>19129</v>
      </c>
      <c r="C1993" s="1" t="s">
        <v>652</v>
      </c>
    </row>
    <row r="1994" spans="2:3" ht="15">
      <c r="B1994" s="1">
        <v>19130</v>
      </c>
      <c r="C1994" s="1" t="s">
        <v>652</v>
      </c>
    </row>
    <row r="1995" spans="2:3" ht="15">
      <c r="B1995" s="1">
        <v>19131</v>
      </c>
      <c r="C1995" s="1" t="s">
        <v>652</v>
      </c>
    </row>
    <row r="1996" spans="2:3" ht="15">
      <c r="B1996" s="1">
        <v>19132</v>
      </c>
      <c r="C1996" s="1" t="s">
        <v>652</v>
      </c>
    </row>
    <row r="1997" spans="2:3" ht="15">
      <c r="B1997" s="1">
        <v>19133</v>
      </c>
      <c r="C1997" s="1" t="s">
        <v>652</v>
      </c>
    </row>
    <row r="1998" spans="2:3" ht="15">
      <c r="B1998" s="1">
        <v>19134</v>
      </c>
      <c r="C1998" s="1" t="s">
        <v>652</v>
      </c>
    </row>
    <row r="1999" spans="2:3" ht="15">
      <c r="B1999" s="1">
        <v>19135</v>
      </c>
      <c r="C1999" s="1" t="s">
        <v>652</v>
      </c>
    </row>
    <row r="2000" spans="2:3" ht="15">
      <c r="B2000" s="1">
        <v>19136</v>
      </c>
      <c r="C2000" s="1" t="s">
        <v>652</v>
      </c>
    </row>
    <row r="2001" spans="2:3" ht="15">
      <c r="B2001" s="1">
        <v>19137</v>
      </c>
      <c r="C2001" s="1" t="s">
        <v>652</v>
      </c>
    </row>
    <row r="2002" spans="2:3" ht="15">
      <c r="B2002" s="1">
        <v>19138</v>
      </c>
      <c r="C2002" s="1" t="s">
        <v>652</v>
      </c>
    </row>
    <row r="2003" spans="2:3" ht="15">
      <c r="B2003" s="1">
        <v>19139</v>
      </c>
      <c r="C2003" s="1" t="s">
        <v>652</v>
      </c>
    </row>
    <row r="2004" spans="2:3" ht="15">
      <c r="B2004" s="1">
        <v>19140</v>
      </c>
      <c r="C2004" s="1" t="s">
        <v>652</v>
      </c>
    </row>
    <row r="2005" spans="2:3" ht="15">
      <c r="B2005" s="1">
        <v>19141</v>
      </c>
      <c r="C2005" s="1" t="s">
        <v>652</v>
      </c>
    </row>
    <row r="2006" spans="2:3" ht="15">
      <c r="B2006" s="1">
        <v>19142</v>
      </c>
      <c r="C2006" s="1" t="s">
        <v>652</v>
      </c>
    </row>
    <row r="2007" spans="2:3" ht="15">
      <c r="B2007" s="1">
        <v>19143</v>
      </c>
      <c r="C2007" s="1" t="s">
        <v>652</v>
      </c>
    </row>
    <row r="2008" spans="2:3" ht="15">
      <c r="B2008" s="1">
        <v>19144</v>
      </c>
      <c r="C2008" s="1" t="s">
        <v>652</v>
      </c>
    </row>
    <row r="2009" spans="2:3" ht="15">
      <c r="B2009" s="1">
        <v>19145</v>
      </c>
      <c r="C2009" s="1" t="s">
        <v>652</v>
      </c>
    </row>
    <row r="2010" spans="2:3" ht="15">
      <c r="B2010" s="1">
        <v>19146</v>
      </c>
      <c r="C2010" s="1" t="s">
        <v>652</v>
      </c>
    </row>
    <row r="2011" spans="2:3" ht="15">
      <c r="B2011" s="1">
        <v>19147</v>
      </c>
      <c r="C2011" s="1" t="s">
        <v>652</v>
      </c>
    </row>
    <row r="2012" spans="2:3" ht="15">
      <c r="B2012" s="1">
        <v>19148</v>
      </c>
      <c r="C2012" s="1" t="s">
        <v>652</v>
      </c>
    </row>
    <row r="2013" spans="2:3" ht="15">
      <c r="B2013" s="1">
        <v>19149</v>
      </c>
      <c r="C2013" s="1" t="s">
        <v>652</v>
      </c>
    </row>
    <row r="2014" spans="2:3" ht="15">
      <c r="B2014" s="1">
        <v>19150</v>
      </c>
      <c r="C2014" s="1" t="s">
        <v>652</v>
      </c>
    </row>
    <row r="2015" spans="2:3" ht="15">
      <c r="B2015" s="1">
        <v>19151</v>
      </c>
      <c r="C2015" s="1" t="s">
        <v>652</v>
      </c>
    </row>
    <row r="2016" spans="2:3" ht="15">
      <c r="B2016" s="1">
        <v>19152</v>
      </c>
      <c r="C2016" s="1" t="s">
        <v>652</v>
      </c>
    </row>
    <row r="2017" spans="2:3" ht="15">
      <c r="B2017" s="1">
        <v>19153</v>
      </c>
      <c r="C2017" s="1" t="s">
        <v>652</v>
      </c>
    </row>
    <row r="2018" spans="2:3" ht="15">
      <c r="B2018" s="1">
        <v>19154</v>
      </c>
      <c r="C2018" s="1" t="s">
        <v>652</v>
      </c>
    </row>
    <row r="2019" spans="2:3" ht="15">
      <c r="B2019" s="1">
        <v>19155</v>
      </c>
      <c r="C2019" s="1" t="s">
        <v>652</v>
      </c>
    </row>
    <row r="2020" spans="2:3" ht="15">
      <c r="B2020" s="1">
        <v>19160</v>
      </c>
      <c r="C2020" s="1" t="s">
        <v>652</v>
      </c>
    </row>
    <row r="2021" spans="2:3" ht="15">
      <c r="B2021" s="1">
        <v>19161</v>
      </c>
      <c r="C2021" s="1" t="s">
        <v>652</v>
      </c>
    </row>
    <row r="2022" spans="2:3" ht="15">
      <c r="B2022" s="1">
        <v>19162</v>
      </c>
      <c r="C2022" s="1" t="s">
        <v>652</v>
      </c>
    </row>
    <row r="2023" spans="2:3" ht="15">
      <c r="B2023" s="1">
        <v>19170</v>
      </c>
      <c r="C2023" s="1" t="s">
        <v>652</v>
      </c>
    </row>
    <row r="2024" spans="2:3" ht="15">
      <c r="B2024" s="1">
        <v>19171</v>
      </c>
      <c r="C2024" s="1" t="s">
        <v>652</v>
      </c>
    </row>
    <row r="2025" spans="2:3" ht="15">
      <c r="B2025" s="1">
        <v>19172</v>
      </c>
      <c r="C2025" s="1" t="s">
        <v>652</v>
      </c>
    </row>
    <row r="2026" spans="2:3" ht="15">
      <c r="B2026" s="1">
        <v>19173</v>
      </c>
      <c r="C2026" s="1" t="s">
        <v>652</v>
      </c>
    </row>
    <row r="2027" spans="2:3" ht="15">
      <c r="B2027" s="1">
        <v>19175</v>
      </c>
      <c r="C2027" s="1" t="s">
        <v>652</v>
      </c>
    </row>
    <row r="2028" spans="2:3" ht="15">
      <c r="B2028" s="1">
        <v>19176</v>
      </c>
      <c r="C2028" s="1" t="s">
        <v>652</v>
      </c>
    </row>
    <row r="2029" spans="2:3" ht="15">
      <c r="B2029" s="1">
        <v>19177</v>
      </c>
      <c r="C2029" s="1" t="s">
        <v>652</v>
      </c>
    </row>
    <row r="2030" spans="2:3" ht="15">
      <c r="B2030" s="1">
        <v>19178</v>
      </c>
      <c r="C2030" s="1" t="s">
        <v>652</v>
      </c>
    </row>
    <row r="2031" spans="2:3" ht="15">
      <c r="B2031" s="1">
        <v>19179</v>
      </c>
      <c r="C2031" s="1" t="s">
        <v>652</v>
      </c>
    </row>
    <row r="2032" spans="2:3" ht="15">
      <c r="B2032" s="1">
        <v>19181</v>
      </c>
      <c r="C2032" s="1" t="s">
        <v>652</v>
      </c>
    </row>
    <row r="2033" spans="2:3" ht="15">
      <c r="B2033" s="1">
        <v>19182</v>
      </c>
      <c r="C2033" s="1" t="s">
        <v>652</v>
      </c>
    </row>
    <row r="2034" spans="2:3" ht="15">
      <c r="B2034" s="1">
        <v>19183</v>
      </c>
      <c r="C2034" s="1" t="s">
        <v>652</v>
      </c>
    </row>
    <row r="2035" spans="2:3" ht="15">
      <c r="B2035" s="1">
        <v>19184</v>
      </c>
      <c r="C2035" s="1" t="s">
        <v>652</v>
      </c>
    </row>
    <row r="2036" spans="2:3" ht="15">
      <c r="B2036" s="1">
        <v>19185</v>
      </c>
      <c r="C2036" s="1" t="s">
        <v>652</v>
      </c>
    </row>
    <row r="2037" spans="2:3" ht="15">
      <c r="B2037" s="1">
        <v>19187</v>
      </c>
      <c r="C2037" s="1" t="s">
        <v>652</v>
      </c>
    </row>
    <row r="2038" spans="2:3" ht="15">
      <c r="B2038" s="1">
        <v>19188</v>
      </c>
      <c r="C2038" s="1" t="s">
        <v>652</v>
      </c>
    </row>
    <row r="2039" spans="2:3" ht="15">
      <c r="B2039" s="1">
        <v>19190</v>
      </c>
      <c r="C2039" s="1" t="s">
        <v>652</v>
      </c>
    </row>
    <row r="2040" spans="2:3" ht="15">
      <c r="B2040" s="1">
        <v>19191</v>
      </c>
      <c r="C2040" s="1" t="s">
        <v>652</v>
      </c>
    </row>
    <row r="2041" spans="2:3" ht="15">
      <c r="B2041" s="1">
        <v>19192</v>
      </c>
      <c r="C2041" s="1" t="s">
        <v>652</v>
      </c>
    </row>
    <row r="2042" spans="2:3" ht="15">
      <c r="B2042" s="1">
        <v>19193</v>
      </c>
      <c r="C2042" s="1" t="s">
        <v>652</v>
      </c>
    </row>
    <row r="2043" spans="2:3" ht="15">
      <c r="B2043" s="1">
        <v>19194</v>
      </c>
      <c r="C2043" s="1" t="s">
        <v>652</v>
      </c>
    </row>
    <row r="2044" spans="2:3" ht="15">
      <c r="B2044" s="1">
        <v>19195</v>
      </c>
      <c r="C2044" s="1" t="s">
        <v>652</v>
      </c>
    </row>
    <row r="2045" spans="2:3" ht="15">
      <c r="B2045" s="1">
        <v>19196</v>
      </c>
      <c r="C2045" s="1" t="s">
        <v>652</v>
      </c>
    </row>
    <row r="2046" spans="2:3" ht="15">
      <c r="B2046" s="1">
        <v>19197</v>
      </c>
      <c r="C2046" s="1" t="s">
        <v>652</v>
      </c>
    </row>
    <row r="2047" spans="2:3" ht="15">
      <c r="B2047" s="1">
        <v>19244</v>
      </c>
      <c r="C2047" s="1" t="s">
        <v>652</v>
      </c>
    </row>
    <row r="2048" spans="2:3" ht="15">
      <c r="B2048" s="1">
        <v>19255</v>
      </c>
      <c r="C2048" s="1" t="s">
        <v>652</v>
      </c>
    </row>
    <row r="2049" spans="2:3" ht="15">
      <c r="B2049" s="1">
        <v>19301</v>
      </c>
      <c r="C2049" s="1" t="s">
        <v>652</v>
      </c>
    </row>
    <row r="2050" spans="2:3" ht="15">
      <c r="B2050" s="1">
        <v>19310</v>
      </c>
      <c r="C2050" s="1" t="s">
        <v>652</v>
      </c>
    </row>
    <row r="2051" spans="2:3" ht="15">
      <c r="B2051" s="1">
        <v>19311</v>
      </c>
      <c r="C2051" s="1" t="s">
        <v>652</v>
      </c>
    </row>
    <row r="2052" spans="2:3" ht="15">
      <c r="B2052" s="1">
        <v>19312</v>
      </c>
      <c r="C2052" s="1" t="s">
        <v>652</v>
      </c>
    </row>
    <row r="2053" spans="2:3" ht="15">
      <c r="B2053" s="1">
        <v>19316</v>
      </c>
      <c r="C2053" s="1" t="s">
        <v>652</v>
      </c>
    </row>
    <row r="2054" spans="2:3" ht="15">
      <c r="B2054" s="1">
        <v>19317</v>
      </c>
      <c r="C2054" s="1" t="s">
        <v>652</v>
      </c>
    </row>
    <row r="2055" spans="2:3" ht="15">
      <c r="B2055" s="1">
        <v>19318</v>
      </c>
      <c r="C2055" s="1" t="s">
        <v>652</v>
      </c>
    </row>
    <row r="2056" spans="2:3" ht="15">
      <c r="B2056" s="1">
        <v>19319</v>
      </c>
      <c r="C2056" s="1" t="s">
        <v>652</v>
      </c>
    </row>
    <row r="2057" spans="2:3" ht="15">
      <c r="B2057" s="1">
        <v>19320</v>
      </c>
      <c r="C2057" s="1" t="s">
        <v>652</v>
      </c>
    </row>
    <row r="2058" spans="2:3" ht="15">
      <c r="B2058" s="1">
        <v>19330</v>
      </c>
      <c r="C2058" s="1" t="s">
        <v>652</v>
      </c>
    </row>
    <row r="2059" spans="2:3" ht="15">
      <c r="B2059" s="1">
        <v>19331</v>
      </c>
      <c r="C2059" s="1" t="s">
        <v>652</v>
      </c>
    </row>
    <row r="2060" spans="2:3" ht="15">
      <c r="B2060" s="1">
        <v>19333</v>
      </c>
      <c r="C2060" s="1" t="s">
        <v>652</v>
      </c>
    </row>
    <row r="2061" spans="2:3" ht="15">
      <c r="B2061" s="1">
        <v>19335</v>
      </c>
      <c r="C2061" s="1" t="s">
        <v>652</v>
      </c>
    </row>
    <row r="2062" spans="2:3" ht="15">
      <c r="B2062" s="1">
        <v>19339</v>
      </c>
      <c r="C2062" s="1" t="s">
        <v>652</v>
      </c>
    </row>
    <row r="2063" spans="2:3" ht="15">
      <c r="B2063" s="1">
        <v>19340</v>
      </c>
      <c r="C2063" s="1" t="s">
        <v>652</v>
      </c>
    </row>
    <row r="2064" spans="2:3" ht="15">
      <c r="B2064" s="1">
        <v>19341</v>
      </c>
      <c r="C2064" s="1" t="s">
        <v>652</v>
      </c>
    </row>
    <row r="2065" spans="2:3" ht="15">
      <c r="B2065" s="1">
        <v>19342</v>
      </c>
      <c r="C2065" s="1" t="s">
        <v>652</v>
      </c>
    </row>
    <row r="2066" spans="2:3" ht="15">
      <c r="B2066" s="1">
        <v>19343</v>
      </c>
      <c r="C2066" s="1" t="s">
        <v>652</v>
      </c>
    </row>
    <row r="2067" spans="2:3" ht="15">
      <c r="B2067" s="1">
        <v>19344</v>
      </c>
      <c r="C2067" s="1" t="s">
        <v>652</v>
      </c>
    </row>
    <row r="2068" spans="2:3" ht="15">
      <c r="B2068" s="1">
        <v>19345</v>
      </c>
      <c r="C2068" s="1" t="s">
        <v>652</v>
      </c>
    </row>
    <row r="2069" spans="2:3" ht="15">
      <c r="B2069" s="1">
        <v>19346</v>
      </c>
      <c r="C2069" s="1" t="s">
        <v>652</v>
      </c>
    </row>
    <row r="2070" spans="2:3" ht="15">
      <c r="B2070" s="1">
        <v>19347</v>
      </c>
      <c r="C2070" s="1" t="s">
        <v>652</v>
      </c>
    </row>
    <row r="2071" spans="2:3" ht="15">
      <c r="B2071" s="1">
        <v>19348</v>
      </c>
      <c r="C2071" s="1" t="s">
        <v>652</v>
      </c>
    </row>
    <row r="2072" spans="2:3" ht="15">
      <c r="B2072" s="1">
        <v>19350</v>
      </c>
      <c r="C2072" s="1" t="s">
        <v>652</v>
      </c>
    </row>
    <row r="2073" spans="2:3" ht="15">
      <c r="B2073" s="1">
        <v>19351</v>
      </c>
      <c r="C2073" s="1" t="s">
        <v>652</v>
      </c>
    </row>
    <row r="2074" spans="2:3" ht="15">
      <c r="B2074" s="1">
        <v>19352</v>
      </c>
      <c r="C2074" s="1" t="s">
        <v>652</v>
      </c>
    </row>
    <row r="2075" spans="2:3" ht="15">
      <c r="B2075" s="1">
        <v>19353</v>
      </c>
      <c r="C2075" s="1" t="s">
        <v>652</v>
      </c>
    </row>
    <row r="2076" spans="2:3" ht="15">
      <c r="B2076" s="1">
        <v>19354</v>
      </c>
      <c r="C2076" s="1" t="s">
        <v>652</v>
      </c>
    </row>
    <row r="2077" spans="2:3" ht="15">
      <c r="B2077" s="1">
        <v>19355</v>
      </c>
      <c r="C2077" s="1" t="s">
        <v>652</v>
      </c>
    </row>
    <row r="2078" spans="2:3" ht="15">
      <c r="B2078" s="1">
        <v>19357</v>
      </c>
      <c r="C2078" s="1" t="s">
        <v>652</v>
      </c>
    </row>
    <row r="2079" spans="2:3" ht="15">
      <c r="B2079" s="1">
        <v>19358</v>
      </c>
      <c r="C2079" s="1" t="s">
        <v>652</v>
      </c>
    </row>
    <row r="2080" spans="2:3" ht="15">
      <c r="B2080" s="1">
        <v>19360</v>
      </c>
      <c r="C2080" s="1" t="s">
        <v>652</v>
      </c>
    </row>
    <row r="2081" spans="2:3" ht="15">
      <c r="B2081" s="1">
        <v>19362</v>
      </c>
      <c r="C2081" s="1" t="s">
        <v>652</v>
      </c>
    </row>
    <row r="2082" spans="2:3" ht="15">
      <c r="B2082" s="1">
        <v>19363</v>
      </c>
      <c r="C2082" s="1" t="s">
        <v>652</v>
      </c>
    </row>
    <row r="2083" spans="2:3" ht="15">
      <c r="B2083" s="1">
        <v>19365</v>
      </c>
      <c r="C2083" s="1" t="s">
        <v>652</v>
      </c>
    </row>
    <row r="2084" spans="2:3" ht="15">
      <c r="B2084" s="1">
        <v>19366</v>
      </c>
      <c r="C2084" s="1" t="s">
        <v>652</v>
      </c>
    </row>
    <row r="2085" spans="2:3" ht="15">
      <c r="B2085" s="1">
        <v>19367</v>
      </c>
      <c r="C2085" s="1" t="s">
        <v>652</v>
      </c>
    </row>
    <row r="2086" spans="2:3" ht="15">
      <c r="B2086" s="1">
        <v>19369</v>
      </c>
      <c r="C2086" s="1" t="s">
        <v>652</v>
      </c>
    </row>
    <row r="2087" spans="2:3" ht="15">
      <c r="B2087" s="1">
        <v>19371</v>
      </c>
      <c r="C2087" s="1" t="s">
        <v>652</v>
      </c>
    </row>
    <row r="2088" spans="2:3" ht="15">
      <c r="B2088" s="1">
        <v>19372</v>
      </c>
      <c r="C2088" s="1" t="s">
        <v>652</v>
      </c>
    </row>
    <row r="2089" spans="2:3" ht="15">
      <c r="B2089" s="1">
        <v>19373</v>
      </c>
      <c r="C2089" s="1" t="s">
        <v>652</v>
      </c>
    </row>
    <row r="2090" spans="2:3" ht="15">
      <c r="B2090" s="1">
        <v>19374</v>
      </c>
      <c r="C2090" s="1" t="s">
        <v>652</v>
      </c>
    </row>
    <row r="2091" spans="2:3" ht="15">
      <c r="B2091" s="1">
        <v>19375</v>
      </c>
      <c r="C2091" s="1" t="s">
        <v>652</v>
      </c>
    </row>
    <row r="2092" spans="2:3" ht="15">
      <c r="B2092" s="1">
        <v>19376</v>
      </c>
      <c r="C2092" s="1" t="s">
        <v>652</v>
      </c>
    </row>
    <row r="2093" spans="2:3" ht="15">
      <c r="B2093" s="1">
        <v>19380</v>
      </c>
      <c r="C2093" s="1" t="s">
        <v>652</v>
      </c>
    </row>
    <row r="2094" spans="2:3" ht="15">
      <c r="B2094" s="1">
        <v>19381</v>
      </c>
      <c r="C2094" s="1" t="s">
        <v>652</v>
      </c>
    </row>
    <row r="2095" spans="2:3" ht="15">
      <c r="B2095" s="1">
        <v>19382</v>
      </c>
      <c r="C2095" s="1" t="s">
        <v>652</v>
      </c>
    </row>
    <row r="2096" spans="2:3" ht="15">
      <c r="B2096" s="1">
        <v>19383</v>
      </c>
      <c r="C2096" s="1" t="s">
        <v>652</v>
      </c>
    </row>
    <row r="2097" spans="2:3" ht="15">
      <c r="B2097" s="1">
        <v>19388</v>
      </c>
      <c r="C2097" s="1" t="s">
        <v>652</v>
      </c>
    </row>
    <row r="2098" spans="2:3" ht="15">
      <c r="B2098" s="1">
        <v>19390</v>
      </c>
      <c r="C2098" s="1" t="s">
        <v>652</v>
      </c>
    </row>
    <row r="2099" spans="2:3" ht="15">
      <c r="B2099" s="1">
        <v>19395</v>
      </c>
      <c r="C2099" s="1" t="s">
        <v>652</v>
      </c>
    </row>
    <row r="2100" spans="2:3" ht="15">
      <c r="B2100" s="1">
        <v>19397</v>
      </c>
      <c r="C2100" s="1" t="s">
        <v>652</v>
      </c>
    </row>
    <row r="2101" spans="2:3" ht="15">
      <c r="B2101" s="1">
        <v>19398</v>
      </c>
      <c r="C2101" s="1" t="s">
        <v>652</v>
      </c>
    </row>
    <row r="2102" spans="2:3" ht="15">
      <c r="B2102" s="1">
        <v>19399</v>
      </c>
      <c r="C2102" s="1" t="s">
        <v>652</v>
      </c>
    </row>
    <row r="2103" spans="2:3" ht="15">
      <c r="B2103" s="1">
        <v>19401</v>
      </c>
      <c r="C2103" s="1" t="s">
        <v>652</v>
      </c>
    </row>
    <row r="2104" spans="2:3" ht="15">
      <c r="B2104" s="1">
        <v>19403</v>
      </c>
      <c r="C2104" s="1" t="s">
        <v>652</v>
      </c>
    </row>
    <row r="2105" spans="2:3" ht="15">
      <c r="B2105" s="1">
        <v>19404</v>
      </c>
      <c r="C2105" s="1" t="s">
        <v>652</v>
      </c>
    </row>
    <row r="2106" spans="2:3" ht="15">
      <c r="B2106" s="1">
        <v>19405</v>
      </c>
      <c r="C2106" s="1" t="s">
        <v>652</v>
      </c>
    </row>
    <row r="2107" spans="2:3" ht="15">
      <c r="B2107" s="1">
        <v>19406</v>
      </c>
      <c r="C2107" s="1" t="s">
        <v>652</v>
      </c>
    </row>
    <row r="2108" spans="2:3" ht="15">
      <c r="B2108" s="1">
        <v>19407</v>
      </c>
      <c r="C2108" s="1" t="s">
        <v>652</v>
      </c>
    </row>
    <row r="2109" spans="2:3" ht="15">
      <c r="B2109" s="1">
        <v>19408</v>
      </c>
      <c r="C2109" s="1" t="s">
        <v>652</v>
      </c>
    </row>
    <row r="2110" spans="2:3" ht="15">
      <c r="B2110" s="1">
        <v>19409</v>
      </c>
      <c r="C2110" s="1" t="s">
        <v>652</v>
      </c>
    </row>
    <row r="2111" spans="2:3" ht="15">
      <c r="B2111" s="1">
        <v>19415</v>
      </c>
      <c r="C2111" s="1" t="s">
        <v>652</v>
      </c>
    </row>
    <row r="2112" spans="2:3" ht="15">
      <c r="B2112" s="1">
        <v>19420</v>
      </c>
      <c r="C2112" s="1" t="s">
        <v>652</v>
      </c>
    </row>
    <row r="2113" spans="2:3" ht="15">
      <c r="B2113" s="1">
        <v>19421</v>
      </c>
      <c r="C2113" s="1" t="s">
        <v>652</v>
      </c>
    </row>
    <row r="2114" spans="2:3" ht="15">
      <c r="B2114" s="1">
        <v>19422</v>
      </c>
      <c r="C2114" s="1" t="s">
        <v>652</v>
      </c>
    </row>
    <row r="2115" spans="2:3" ht="15">
      <c r="B2115" s="1">
        <v>19423</v>
      </c>
      <c r="C2115" s="1" t="s">
        <v>652</v>
      </c>
    </row>
    <row r="2116" spans="2:3" ht="15">
      <c r="B2116" s="1">
        <v>19424</v>
      </c>
      <c r="C2116" s="1" t="s">
        <v>652</v>
      </c>
    </row>
    <row r="2117" spans="2:3" ht="15">
      <c r="B2117" s="1">
        <v>19425</v>
      </c>
      <c r="C2117" s="1" t="s">
        <v>652</v>
      </c>
    </row>
    <row r="2118" spans="2:3" ht="15">
      <c r="B2118" s="1">
        <v>19426</v>
      </c>
      <c r="C2118" s="1" t="s">
        <v>652</v>
      </c>
    </row>
    <row r="2119" spans="2:3" ht="15">
      <c r="B2119" s="1">
        <v>19428</v>
      </c>
      <c r="C2119" s="1" t="s">
        <v>652</v>
      </c>
    </row>
    <row r="2120" spans="2:3" ht="15">
      <c r="B2120" s="1">
        <v>19429</v>
      </c>
      <c r="C2120" s="1" t="s">
        <v>652</v>
      </c>
    </row>
    <row r="2121" spans="2:3" ht="15">
      <c r="B2121" s="1">
        <v>19430</v>
      </c>
      <c r="C2121" s="1" t="s">
        <v>652</v>
      </c>
    </row>
    <row r="2122" spans="2:3" ht="15">
      <c r="B2122" s="1">
        <v>19432</v>
      </c>
      <c r="C2122" s="1" t="s">
        <v>652</v>
      </c>
    </row>
    <row r="2123" spans="2:3" ht="15">
      <c r="B2123" s="1">
        <v>19435</v>
      </c>
      <c r="C2123" s="1" t="s">
        <v>652</v>
      </c>
    </row>
    <row r="2124" spans="2:3" ht="15">
      <c r="B2124" s="1">
        <v>19436</v>
      </c>
      <c r="C2124" s="1" t="s">
        <v>652</v>
      </c>
    </row>
    <row r="2125" spans="2:3" ht="15">
      <c r="B2125" s="1">
        <v>19437</v>
      </c>
      <c r="C2125" s="1" t="s">
        <v>652</v>
      </c>
    </row>
    <row r="2126" spans="2:3" ht="15">
      <c r="B2126" s="1">
        <v>19438</v>
      </c>
      <c r="C2126" s="1" t="s">
        <v>652</v>
      </c>
    </row>
    <row r="2127" spans="2:3" ht="15">
      <c r="B2127" s="1">
        <v>19440</v>
      </c>
      <c r="C2127" s="1" t="s">
        <v>652</v>
      </c>
    </row>
    <row r="2128" spans="2:3" ht="15">
      <c r="B2128" s="1">
        <v>19441</v>
      </c>
      <c r="C2128" s="1" t="s">
        <v>652</v>
      </c>
    </row>
    <row r="2129" spans="2:3" ht="15">
      <c r="B2129" s="1">
        <v>19442</v>
      </c>
      <c r="C2129" s="1" t="s">
        <v>652</v>
      </c>
    </row>
    <row r="2130" spans="2:3" ht="15">
      <c r="B2130" s="1">
        <v>19443</v>
      </c>
      <c r="C2130" s="1" t="s">
        <v>652</v>
      </c>
    </row>
    <row r="2131" spans="2:3" ht="15">
      <c r="B2131" s="1">
        <v>19444</v>
      </c>
      <c r="C2131" s="1" t="s">
        <v>652</v>
      </c>
    </row>
    <row r="2132" spans="2:3" ht="15">
      <c r="B2132" s="1">
        <v>19446</v>
      </c>
      <c r="C2132" s="1" t="s">
        <v>652</v>
      </c>
    </row>
    <row r="2133" spans="2:3" ht="15">
      <c r="B2133" s="1">
        <v>19450</v>
      </c>
      <c r="C2133" s="1" t="s">
        <v>652</v>
      </c>
    </row>
    <row r="2134" spans="2:3" ht="15">
      <c r="B2134" s="1">
        <v>19451</v>
      </c>
      <c r="C2134" s="1" t="s">
        <v>652</v>
      </c>
    </row>
    <row r="2135" spans="2:3" ht="15">
      <c r="B2135" s="1">
        <v>19453</v>
      </c>
      <c r="C2135" s="1" t="s">
        <v>652</v>
      </c>
    </row>
    <row r="2136" spans="2:3" ht="15">
      <c r="B2136" s="1">
        <v>19454</v>
      </c>
      <c r="C2136" s="1" t="s">
        <v>652</v>
      </c>
    </row>
    <row r="2137" spans="2:3" ht="15">
      <c r="B2137" s="1">
        <v>19455</v>
      </c>
      <c r="C2137" s="1" t="s">
        <v>652</v>
      </c>
    </row>
    <row r="2138" spans="2:3" ht="15">
      <c r="B2138" s="1">
        <v>19456</v>
      </c>
      <c r="C2138" s="1" t="s">
        <v>652</v>
      </c>
    </row>
    <row r="2139" spans="2:3" ht="15">
      <c r="B2139" s="1">
        <v>19457</v>
      </c>
      <c r="C2139" s="1" t="s">
        <v>652</v>
      </c>
    </row>
    <row r="2140" spans="2:3" ht="15">
      <c r="B2140" s="1">
        <v>19460</v>
      </c>
      <c r="C2140" s="1" t="s">
        <v>652</v>
      </c>
    </row>
    <row r="2141" spans="2:3" ht="15">
      <c r="B2141" s="1">
        <v>19462</v>
      </c>
      <c r="C2141" s="1" t="s">
        <v>652</v>
      </c>
    </row>
    <row r="2142" spans="2:3" ht="15">
      <c r="B2142" s="1">
        <v>19464</v>
      </c>
      <c r="C2142" s="1" t="s">
        <v>652</v>
      </c>
    </row>
    <row r="2143" spans="2:3" ht="15">
      <c r="B2143" s="1">
        <v>19465</v>
      </c>
      <c r="C2143" s="1" t="s">
        <v>652</v>
      </c>
    </row>
    <row r="2144" spans="2:3" ht="15">
      <c r="B2144" s="1">
        <v>19468</v>
      </c>
      <c r="C2144" s="1" t="s">
        <v>652</v>
      </c>
    </row>
    <row r="2145" spans="2:3" ht="15">
      <c r="B2145" s="1">
        <v>19470</v>
      </c>
      <c r="C2145" s="1" t="s">
        <v>652</v>
      </c>
    </row>
    <row r="2146" spans="2:3" ht="15">
      <c r="B2146" s="1">
        <v>19472</v>
      </c>
      <c r="C2146" s="1" t="s">
        <v>652</v>
      </c>
    </row>
    <row r="2147" spans="2:3" ht="15">
      <c r="B2147" s="1">
        <v>19473</v>
      </c>
      <c r="C2147" s="1" t="s">
        <v>652</v>
      </c>
    </row>
    <row r="2148" spans="2:3" ht="15">
      <c r="B2148" s="1">
        <v>19474</v>
      </c>
      <c r="C2148" s="1" t="s">
        <v>652</v>
      </c>
    </row>
    <row r="2149" spans="2:3" ht="15">
      <c r="B2149" s="1">
        <v>19475</v>
      </c>
      <c r="C2149" s="1" t="s">
        <v>652</v>
      </c>
    </row>
    <row r="2150" spans="2:3" ht="15">
      <c r="B2150" s="1">
        <v>19477</v>
      </c>
      <c r="C2150" s="1" t="s">
        <v>652</v>
      </c>
    </row>
    <row r="2151" spans="2:3" ht="15">
      <c r="B2151" s="1">
        <v>19478</v>
      </c>
      <c r="C2151" s="1" t="s">
        <v>652</v>
      </c>
    </row>
    <row r="2152" spans="2:3" ht="15">
      <c r="B2152" s="1">
        <v>19480</v>
      </c>
      <c r="C2152" s="1" t="s">
        <v>652</v>
      </c>
    </row>
    <row r="2153" spans="2:3" ht="15">
      <c r="B2153" s="1">
        <v>19481</v>
      </c>
      <c r="C2153" s="1" t="s">
        <v>652</v>
      </c>
    </row>
    <row r="2154" spans="2:3" ht="15">
      <c r="B2154" s="1">
        <v>19482</v>
      </c>
      <c r="C2154" s="1" t="s">
        <v>652</v>
      </c>
    </row>
    <row r="2155" spans="2:3" ht="15">
      <c r="B2155" s="1">
        <v>19483</v>
      </c>
      <c r="C2155" s="1" t="s">
        <v>652</v>
      </c>
    </row>
    <row r="2156" spans="2:3" ht="15">
      <c r="B2156" s="1">
        <v>19484</v>
      </c>
      <c r="C2156" s="1" t="s">
        <v>652</v>
      </c>
    </row>
    <row r="2157" spans="2:3" ht="15">
      <c r="B2157" s="1">
        <v>19485</v>
      </c>
      <c r="C2157" s="1" t="s">
        <v>652</v>
      </c>
    </row>
    <row r="2158" spans="2:3" ht="15">
      <c r="B2158" s="1">
        <v>19486</v>
      </c>
      <c r="C2158" s="1" t="s">
        <v>652</v>
      </c>
    </row>
    <row r="2159" spans="2:3" ht="15">
      <c r="B2159" s="1">
        <v>19487</v>
      </c>
      <c r="C2159" s="1" t="s">
        <v>652</v>
      </c>
    </row>
    <row r="2160" spans="2:3" ht="15">
      <c r="B2160" s="1">
        <v>19488</v>
      </c>
      <c r="C2160" s="1" t="s">
        <v>652</v>
      </c>
    </row>
    <row r="2161" spans="2:3" ht="15">
      <c r="B2161" s="1">
        <v>19489</v>
      </c>
      <c r="C2161" s="1" t="s">
        <v>652</v>
      </c>
    </row>
    <row r="2162" spans="2:3" ht="15">
      <c r="B2162" s="1">
        <v>19490</v>
      </c>
      <c r="C2162" s="1" t="s">
        <v>652</v>
      </c>
    </row>
    <row r="2163" spans="2:3" ht="15">
      <c r="B2163" s="1">
        <v>19492</v>
      </c>
      <c r="C2163" s="1" t="s">
        <v>652</v>
      </c>
    </row>
    <row r="2164" spans="2:3" ht="15">
      <c r="B2164" s="1">
        <v>19493</v>
      </c>
      <c r="C2164" s="1" t="s">
        <v>652</v>
      </c>
    </row>
    <row r="2165" spans="2:3" ht="15">
      <c r="B2165" s="1">
        <v>19494</v>
      </c>
      <c r="C2165" s="1" t="s">
        <v>652</v>
      </c>
    </row>
    <row r="2166" spans="2:3" ht="15">
      <c r="B2166" s="1">
        <v>19495</v>
      </c>
      <c r="C2166" s="1" t="s">
        <v>652</v>
      </c>
    </row>
    <row r="2167" spans="2:3" ht="15">
      <c r="B2167" s="1">
        <v>19496</v>
      </c>
      <c r="C2167" s="1" t="s">
        <v>652</v>
      </c>
    </row>
    <row r="2168" spans="2:3" ht="15">
      <c r="B2168" s="1">
        <v>19501</v>
      </c>
      <c r="C2168" s="1" t="s">
        <v>652</v>
      </c>
    </row>
    <row r="2169" spans="2:3" ht="15">
      <c r="B2169" s="1">
        <v>19503</v>
      </c>
      <c r="C2169" s="1" t="s">
        <v>652</v>
      </c>
    </row>
    <row r="2170" spans="2:3" ht="15">
      <c r="B2170" s="1">
        <v>19504</v>
      </c>
      <c r="C2170" s="1" t="s">
        <v>652</v>
      </c>
    </row>
    <row r="2171" spans="2:3" ht="15">
      <c r="B2171" s="1">
        <v>19505</v>
      </c>
      <c r="C2171" s="1" t="s">
        <v>652</v>
      </c>
    </row>
    <row r="2172" spans="2:3" ht="15">
      <c r="B2172" s="1">
        <v>19506</v>
      </c>
      <c r="C2172" s="1" t="s">
        <v>652</v>
      </c>
    </row>
    <row r="2173" spans="2:3" ht="15">
      <c r="B2173" s="1">
        <v>19507</v>
      </c>
      <c r="C2173" s="1" t="s">
        <v>652</v>
      </c>
    </row>
    <row r="2174" spans="2:3" ht="15">
      <c r="B2174" s="1">
        <v>19508</v>
      </c>
      <c r="C2174" s="1" t="s">
        <v>652</v>
      </c>
    </row>
    <row r="2175" spans="2:3" ht="15">
      <c r="B2175" s="1">
        <v>19510</v>
      </c>
      <c r="C2175" s="1" t="s">
        <v>652</v>
      </c>
    </row>
    <row r="2176" spans="2:3" ht="15">
      <c r="B2176" s="1">
        <v>19511</v>
      </c>
      <c r="C2176" s="1" t="s">
        <v>652</v>
      </c>
    </row>
    <row r="2177" spans="2:3" ht="15">
      <c r="B2177" s="1">
        <v>19512</v>
      </c>
      <c r="C2177" s="1" t="s">
        <v>652</v>
      </c>
    </row>
    <row r="2178" spans="2:3" ht="15">
      <c r="B2178" s="1">
        <v>19516</v>
      </c>
      <c r="C2178" s="1" t="s">
        <v>652</v>
      </c>
    </row>
    <row r="2179" spans="2:3" ht="15">
      <c r="B2179" s="1">
        <v>19518</v>
      </c>
      <c r="C2179" s="1" t="s">
        <v>652</v>
      </c>
    </row>
    <row r="2180" spans="2:3" ht="15">
      <c r="B2180" s="1">
        <v>19519</v>
      </c>
      <c r="C2180" s="1" t="s">
        <v>652</v>
      </c>
    </row>
    <row r="2181" spans="2:3" ht="15">
      <c r="B2181" s="1">
        <v>19520</v>
      </c>
      <c r="C2181" s="1" t="s">
        <v>652</v>
      </c>
    </row>
    <row r="2182" spans="2:3" ht="15">
      <c r="B2182" s="1">
        <v>19522</v>
      </c>
      <c r="C2182" s="1" t="s">
        <v>652</v>
      </c>
    </row>
    <row r="2183" spans="2:3" ht="15">
      <c r="B2183" s="1">
        <v>19523</v>
      </c>
      <c r="C2183" s="1" t="s">
        <v>652</v>
      </c>
    </row>
    <row r="2184" spans="2:3" ht="15">
      <c r="B2184" s="1">
        <v>19525</v>
      </c>
      <c r="C2184" s="1" t="s">
        <v>652</v>
      </c>
    </row>
    <row r="2185" spans="2:3" ht="15">
      <c r="B2185" s="1">
        <v>19526</v>
      </c>
      <c r="C2185" s="1" t="s">
        <v>652</v>
      </c>
    </row>
    <row r="2186" spans="2:3" ht="15">
      <c r="B2186" s="1">
        <v>19529</v>
      </c>
      <c r="C2186" s="1" t="s">
        <v>652</v>
      </c>
    </row>
    <row r="2187" spans="2:3" ht="15">
      <c r="B2187" s="1">
        <v>19530</v>
      </c>
      <c r="C2187" s="1" t="s">
        <v>652</v>
      </c>
    </row>
    <row r="2188" spans="2:3" ht="15">
      <c r="B2188" s="1">
        <v>19533</v>
      </c>
      <c r="C2188" s="1" t="s">
        <v>652</v>
      </c>
    </row>
    <row r="2189" spans="2:3" ht="15">
      <c r="B2189" s="1">
        <v>19534</v>
      </c>
      <c r="C2189" s="1" t="s">
        <v>652</v>
      </c>
    </row>
    <row r="2190" spans="2:3" ht="15">
      <c r="B2190" s="1">
        <v>19535</v>
      </c>
      <c r="C2190" s="1" t="s">
        <v>652</v>
      </c>
    </row>
    <row r="2191" spans="2:3" ht="15">
      <c r="B2191" s="1">
        <v>19536</v>
      </c>
      <c r="C2191" s="1" t="s">
        <v>652</v>
      </c>
    </row>
    <row r="2192" spans="2:3" ht="15">
      <c r="B2192" s="1">
        <v>19538</v>
      </c>
      <c r="C2192" s="1" t="s">
        <v>652</v>
      </c>
    </row>
    <row r="2193" spans="2:3" ht="15">
      <c r="B2193" s="1">
        <v>19539</v>
      </c>
      <c r="C2193" s="1" t="s">
        <v>652</v>
      </c>
    </row>
    <row r="2194" spans="2:3" ht="15">
      <c r="B2194" s="1">
        <v>19540</v>
      </c>
      <c r="C2194" s="1" t="s">
        <v>652</v>
      </c>
    </row>
    <row r="2195" spans="2:3" ht="15">
      <c r="B2195" s="1">
        <v>19541</v>
      </c>
      <c r="C2195" s="1" t="s">
        <v>652</v>
      </c>
    </row>
    <row r="2196" spans="2:3" ht="15">
      <c r="B2196" s="1">
        <v>19542</v>
      </c>
      <c r="C2196" s="1" t="s">
        <v>652</v>
      </c>
    </row>
    <row r="2197" spans="2:3" ht="15">
      <c r="B2197" s="1">
        <v>19543</v>
      </c>
      <c r="C2197" s="1" t="s">
        <v>652</v>
      </c>
    </row>
    <row r="2198" spans="2:3" ht="15">
      <c r="B2198" s="1">
        <v>19544</v>
      </c>
      <c r="C2198" s="1" t="s">
        <v>652</v>
      </c>
    </row>
    <row r="2199" spans="2:3" ht="15">
      <c r="B2199" s="1">
        <v>19545</v>
      </c>
      <c r="C2199" s="1" t="s">
        <v>652</v>
      </c>
    </row>
    <row r="2200" spans="2:3" ht="15">
      <c r="B2200" s="1">
        <v>19547</v>
      </c>
      <c r="C2200" s="1" t="s">
        <v>652</v>
      </c>
    </row>
    <row r="2201" spans="2:3" ht="15">
      <c r="B2201" s="1">
        <v>19548</v>
      </c>
      <c r="C2201" s="1" t="s">
        <v>652</v>
      </c>
    </row>
    <row r="2202" spans="2:3" ht="15">
      <c r="B2202" s="1">
        <v>19549</v>
      </c>
      <c r="C2202" s="1" t="s">
        <v>647</v>
      </c>
    </row>
    <row r="2203" spans="2:3" ht="15">
      <c r="B2203" s="1">
        <v>19550</v>
      </c>
      <c r="C2203" s="1" t="s">
        <v>652</v>
      </c>
    </row>
    <row r="2204" spans="2:3" ht="15">
      <c r="B2204" s="1">
        <v>19551</v>
      </c>
      <c r="C2204" s="1" t="s">
        <v>652</v>
      </c>
    </row>
    <row r="2205" spans="2:3" ht="15">
      <c r="B2205" s="1">
        <v>19554</v>
      </c>
      <c r="C2205" s="1" t="s">
        <v>652</v>
      </c>
    </row>
    <row r="2206" spans="2:3" ht="15">
      <c r="B2206" s="1">
        <v>19555</v>
      </c>
      <c r="C2206" s="1" t="s">
        <v>652</v>
      </c>
    </row>
    <row r="2207" spans="2:3" ht="15">
      <c r="B2207" s="1">
        <v>19557</v>
      </c>
      <c r="C2207" s="1" t="s">
        <v>652</v>
      </c>
    </row>
    <row r="2208" spans="2:3" ht="15">
      <c r="B2208" s="1">
        <v>19559</v>
      </c>
      <c r="C2208" s="1" t="s">
        <v>652</v>
      </c>
    </row>
    <row r="2209" spans="2:3" ht="15">
      <c r="B2209" s="1">
        <v>19560</v>
      </c>
      <c r="C2209" s="1" t="s">
        <v>652</v>
      </c>
    </row>
    <row r="2210" spans="2:3" ht="15">
      <c r="B2210" s="1">
        <v>19562</v>
      </c>
      <c r="C2210" s="1" t="s">
        <v>652</v>
      </c>
    </row>
    <row r="2211" spans="2:3" ht="15">
      <c r="B2211" s="1">
        <v>19564</v>
      </c>
      <c r="C2211" s="1" t="s">
        <v>652</v>
      </c>
    </row>
    <row r="2212" spans="2:3" ht="15">
      <c r="B2212" s="1">
        <v>19565</v>
      </c>
      <c r="C2212" s="1" t="s">
        <v>652</v>
      </c>
    </row>
    <row r="2213" spans="2:3" ht="15">
      <c r="B2213" s="1">
        <v>19567</v>
      </c>
      <c r="C2213" s="1" t="s">
        <v>652</v>
      </c>
    </row>
    <row r="2214" spans="2:3" ht="15">
      <c r="B2214" s="1">
        <v>19601</v>
      </c>
      <c r="C2214" s="1" t="s">
        <v>652</v>
      </c>
    </row>
    <row r="2215" spans="2:3" ht="15">
      <c r="B2215" s="1">
        <v>19602</v>
      </c>
      <c r="C2215" s="1" t="s">
        <v>652</v>
      </c>
    </row>
    <row r="2216" spans="2:3" ht="15">
      <c r="B2216" s="1">
        <v>19603</v>
      </c>
      <c r="C2216" s="1" t="s">
        <v>652</v>
      </c>
    </row>
    <row r="2217" spans="2:3" ht="15">
      <c r="B2217" s="1">
        <v>19604</v>
      </c>
      <c r="C2217" s="1" t="s">
        <v>652</v>
      </c>
    </row>
    <row r="2218" spans="2:3" ht="15">
      <c r="B2218" s="1">
        <v>19605</v>
      </c>
      <c r="C2218" s="1" t="s">
        <v>652</v>
      </c>
    </row>
    <row r="2219" spans="2:3" ht="15">
      <c r="B2219" s="1">
        <v>19606</v>
      </c>
      <c r="C2219" s="1" t="s">
        <v>652</v>
      </c>
    </row>
    <row r="2220" spans="2:3" ht="15">
      <c r="B2220" s="1">
        <v>19607</v>
      </c>
      <c r="C2220" s="1" t="s">
        <v>652</v>
      </c>
    </row>
    <row r="2221" spans="2:3" ht="15">
      <c r="B2221" s="1">
        <v>19608</v>
      </c>
      <c r="C2221" s="1" t="s">
        <v>652</v>
      </c>
    </row>
    <row r="2222" spans="2:3" ht="15">
      <c r="B2222" s="1">
        <v>19609</v>
      </c>
      <c r="C2222" s="1" t="s">
        <v>652</v>
      </c>
    </row>
    <row r="2223" spans="2:3" ht="15">
      <c r="B2223" s="1">
        <v>19610</v>
      </c>
      <c r="C2223" s="1" t="s">
        <v>652</v>
      </c>
    </row>
    <row r="2224" spans="2:3" ht="15">
      <c r="B2224" s="1">
        <v>19611</v>
      </c>
      <c r="C2224" s="1" t="s">
        <v>652</v>
      </c>
    </row>
    <row r="2225" spans="2:3" ht="15">
      <c r="B2225" s="1">
        <v>19612</v>
      </c>
      <c r="C2225" s="1" t="s">
        <v>652</v>
      </c>
    </row>
    <row r="2226" spans="2:3" ht="15">
      <c r="B2226" s="1">
        <v>19640</v>
      </c>
      <c r="C2226" s="1" t="s">
        <v>652</v>
      </c>
    </row>
  </sheetData>
  <sheetProtection algorithmName="SHA-512" hashValue="4aoRwxaC1oSZERN0rdThRJ4bex5oMpyWmjtw0G4X19exyBBQjDf5zWTYcVHLpX+0v10OrH6s9AY9QLAX/OmLOQ==" saltValue="2VBavLcnsA2Gx/zPKhn5Rg==" spinCount="100000" sheet="1" selectLockedCells="1"/>
  <mergeCells count="23">
    <mergeCell ref="A1:H1"/>
    <mergeCell ref="A2:B2"/>
    <mergeCell ref="AP19:AR20"/>
    <mergeCell ref="AN42:BD42"/>
    <mergeCell ref="AS19:AU20"/>
    <mergeCell ref="AN4:AW4"/>
    <mergeCell ref="AT5:AW5"/>
    <mergeCell ref="AP6:AQ6"/>
    <mergeCell ref="AR6:AS6"/>
    <mergeCell ref="AT6:AU6"/>
    <mergeCell ref="AV6:AW6"/>
    <mergeCell ref="AN18:AU18"/>
    <mergeCell ref="AP5:AS5"/>
    <mergeCell ref="AN43:AP44"/>
    <mergeCell ref="AQ43:AU44"/>
    <mergeCell ref="AV43:AW44"/>
    <mergeCell ref="AX43:AY44"/>
    <mergeCell ref="AZ43:BD44"/>
    <mergeCell ref="AN59:BD59"/>
    <mergeCell ref="AN60:AO61"/>
    <mergeCell ref="AP60:BA60"/>
    <mergeCell ref="BB60:BD60"/>
    <mergeCell ref="BB61:BD6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1"/>
  </sheetPr>
  <dimension ref="A1:BW57"/>
  <sheetViews>
    <sheetView workbookViewId="0"/>
  </sheetViews>
  <sheetFormatPr defaultColWidth="9.140625" defaultRowHeight="15"/>
  <cols>
    <col min="1" max="1" width="9.7109375" style="9" customWidth="1"/>
    <col min="2" max="2" width="87.7109375" style="42" customWidth="1"/>
    <col min="3" max="3" width="14.85546875" style="9" customWidth="1"/>
    <col min="4" max="4" width="35.140625" style="9" customWidth="1"/>
    <col min="5" max="5" width="14.140625" style="6" customWidth="1"/>
    <col min="6" max="6" width="23.5703125" style="9" customWidth="1"/>
    <col min="7" max="7" width="19" style="9" bestFit="1" customWidth="1"/>
    <col min="8" max="8" width="16.7109375" style="9" customWidth="1"/>
    <col min="9" max="9" width="15.28515625" style="10" customWidth="1"/>
    <col min="10" max="10" width="19.85546875" style="9" customWidth="1"/>
    <col min="11" max="11" width="14.7109375" style="9" customWidth="1"/>
    <col min="12" max="12" width="40.28515625" style="204" customWidth="1"/>
    <col min="13" max="13" width="34.42578125" style="204" bestFit="1" customWidth="1"/>
    <col min="14" max="14" width="25.5703125" style="9" customWidth="1"/>
    <col min="15" max="15" width="33.42578125" style="9" customWidth="1"/>
    <col min="16" max="16" width="16.85546875" style="9" customWidth="1"/>
    <col min="17" max="17" width="15.7109375" style="9" customWidth="1"/>
    <col min="18" max="19" width="18" style="9" customWidth="1"/>
    <col min="20" max="20" width="18.28515625" style="9" customWidth="1"/>
    <col min="21" max="21" width="22.42578125" style="9" customWidth="1"/>
    <col min="22" max="22" width="18.7109375" style="9" customWidth="1"/>
    <col min="23" max="24" width="30.5703125" style="9" customWidth="1"/>
    <col min="25" max="25" width="22" style="202" customWidth="1"/>
    <col min="26" max="27" width="21.5703125" style="29" customWidth="1"/>
    <col min="28" max="28" width="22.5703125" style="29" customWidth="1"/>
    <col min="29" max="29" width="27.28515625" style="29" customWidth="1"/>
    <col min="30" max="30" width="27.140625" style="29" customWidth="1"/>
    <col min="31" max="31" width="28" style="29" customWidth="1"/>
    <col min="32" max="33" width="23.140625" style="29" customWidth="1"/>
    <col min="34" max="36" width="21.28515625" style="29" customWidth="1"/>
    <col min="37" max="37" width="27.5703125" style="29" customWidth="1"/>
    <col min="38" max="40" width="28.140625" style="29" customWidth="1"/>
    <col min="41" max="43" width="22.7109375" style="45" customWidth="1"/>
    <col min="44" max="44" width="22.7109375" style="29" customWidth="1"/>
    <col min="45" max="45" width="16" style="29" customWidth="1"/>
    <col min="46" max="46" width="22" style="29" customWidth="1"/>
    <col min="47" max="50" width="24.28515625" style="29" customWidth="1"/>
    <col min="51" max="51" width="13.5703125" style="9" bestFit="1" customWidth="1"/>
    <col min="52" max="52" width="17.5703125" style="204" customWidth="1"/>
    <col min="53" max="53" width="13.85546875" style="9" customWidth="1"/>
    <col min="54" max="54" width="16.140625" style="10" customWidth="1"/>
    <col min="55" max="55" width="13.85546875" style="10" customWidth="1"/>
    <col min="56" max="58" width="11.85546875" style="30" customWidth="1"/>
    <col min="59" max="59" width="11.85546875" style="5" customWidth="1"/>
    <col min="60" max="60" width="17.140625" style="204" customWidth="1"/>
    <col min="61" max="61" width="14.85546875" style="204" customWidth="1"/>
    <col min="62" max="62" width="15.85546875" style="9" customWidth="1"/>
    <col min="63" max="63" width="19" style="44" customWidth="1"/>
    <col min="64" max="64" width="18" style="44" customWidth="1"/>
    <col min="65" max="67" width="20.5703125" style="204" customWidth="1"/>
    <col min="68" max="68" width="15.42578125" style="204" customWidth="1"/>
    <col min="69" max="71" width="20.5703125" style="205" customWidth="1"/>
    <col min="72" max="72" width="17.42578125" style="44" customWidth="1"/>
    <col min="73" max="73" width="16.85546875" style="44" customWidth="1"/>
    <col min="74" max="74" width="13" style="10" customWidth="1"/>
    <col min="75" max="75" width="8.85546875" customWidth="1"/>
    <col min="76" max="16384" width="9.140625" style="5"/>
  </cols>
  <sheetData>
    <row r="1" spans="1:74" s="7" customFormat="1" ht="36.75" customHeight="1">
      <c r="A1" s="7" t="s">
        <v>952</v>
      </c>
      <c r="B1" s="7" t="s">
        <v>132</v>
      </c>
      <c r="C1" s="7" t="s">
        <v>953</v>
      </c>
      <c r="D1" s="7" t="s">
        <v>954</v>
      </c>
      <c r="E1" s="6" t="s">
        <v>955</v>
      </c>
      <c r="F1" s="8" t="s">
        <v>956</v>
      </c>
      <c r="G1" s="6" t="s">
        <v>957</v>
      </c>
      <c r="H1" s="6" t="s">
        <v>958</v>
      </c>
      <c r="I1" s="27" t="s">
        <v>811</v>
      </c>
      <c r="J1" s="7" t="s">
        <v>813</v>
      </c>
      <c r="K1" s="7" t="s">
        <v>139</v>
      </c>
      <c r="L1" s="7" t="s">
        <v>959</v>
      </c>
      <c r="M1" s="7" t="s">
        <v>250</v>
      </c>
      <c r="N1" s="7" t="s">
        <v>103</v>
      </c>
      <c r="O1" s="7" t="s">
        <v>614</v>
      </c>
      <c r="P1" s="7" t="s">
        <v>186</v>
      </c>
      <c r="Q1" s="7" t="s">
        <v>495</v>
      </c>
      <c r="R1" s="7" t="s">
        <v>960</v>
      </c>
      <c r="S1" s="7" t="s">
        <v>961</v>
      </c>
      <c r="T1" s="7" t="s">
        <v>962</v>
      </c>
      <c r="U1" s="7" t="s">
        <v>963</v>
      </c>
      <c r="V1" s="7" t="s">
        <v>964</v>
      </c>
      <c r="W1" s="7" t="s">
        <v>965</v>
      </c>
      <c r="X1" s="7" t="s">
        <v>966</v>
      </c>
      <c r="Y1" s="211" t="s">
        <v>967</v>
      </c>
      <c r="Z1" s="28" t="s">
        <v>968</v>
      </c>
      <c r="AA1" s="28" t="s">
        <v>969</v>
      </c>
      <c r="AB1" s="28" t="s">
        <v>970</v>
      </c>
      <c r="AC1" s="28" t="s">
        <v>971</v>
      </c>
      <c r="AD1" s="28" t="s">
        <v>972</v>
      </c>
      <c r="AE1" s="28" t="s">
        <v>973</v>
      </c>
      <c r="AF1" s="28" t="s">
        <v>974</v>
      </c>
      <c r="AG1" s="28" t="s">
        <v>975</v>
      </c>
      <c r="AH1" s="28" t="s">
        <v>976</v>
      </c>
      <c r="AI1" s="28" t="s">
        <v>977</v>
      </c>
      <c r="AJ1" s="28" t="s">
        <v>978</v>
      </c>
      <c r="AK1" s="28" t="s">
        <v>979</v>
      </c>
      <c r="AL1" s="28" t="s">
        <v>980</v>
      </c>
      <c r="AM1" s="28" t="s">
        <v>981</v>
      </c>
      <c r="AN1" s="28" t="s">
        <v>982</v>
      </c>
      <c r="AO1" s="28" t="s">
        <v>983</v>
      </c>
      <c r="AP1" s="28" t="s">
        <v>984</v>
      </c>
      <c r="AQ1" s="28" t="s">
        <v>985</v>
      </c>
      <c r="AR1" s="28" t="s">
        <v>986</v>
      </c>
      <c r="AS1" s="28" t="s">
        <v>987</v>
      </c>
      <c r="AT1" s="28" t="s">
        <v>988</v>
      </c>
      <c r="AU1" s="28" t="s">
        <v>989</v>
      </c>
      <c r="AV1" s="28" t="s">
        <v>990</v>
      </c>
      <c r="AW1" s="28" t="s">
        <v>991</v>
      </c>
      <c r="AX1" s="28" t="s">
        <v>992</v>
      </c>
      <c r="AY1" s="7" t="s">
        <v>993</v>
      </c>
      <c r="AZ1" s="7" t="s">
        <v>994</v>
      </c>
      <c r="BA1" s="7" t="s">
        <v>995</v>
      </c>
      <c r="BB1" s="27" t="s">
        <v>996</v>
      </c>
      <c r="BC1" s="27" t="s">
        <v>997</v>
      </c>
      <c r="BD1" s="27" t="s">
        <v>998</v>
      </c>
      <c r="BE1" s="27" t="s">
        <v>999</v>
      </c>
      <c r="BF1" s="27" t="s">
        <v>1000</v>
      </c>
      <c r="BG1" s="7" t="s">
        <v>425</v>
      </c>
      <c r="BH1" s="7" t="s">
        <v>1001</v>
      </c>
      <c r="BI1" s="7" t="s">
        <v>427</v>
      </c>
      <c r="BJ1" s="7" t="s">
        <v>1002</v>
      </c>
      <c r="BK1" s="54" t="s">
        <v>1003</v>
      </c>
      <c r="BL1" s="54" t="s">
        <v>1004</v>
      </c>
      <c r="BM1" s="7" t="s">
        <v>1005</v>
      </c>
      <c r="BN1" s="7" t="s">
        <v>1006</v>
      </c>
      <c r="BO1" s="7" t="s">
        <v>1007</v>
      </c>
      <c r="BP1" s="7" t="s">
        <v>168</v>
      </c>
      <c r="BQ1" s="54" t="s">
        <v>43</v>
      </c>
      <c r="BR1" s="54" t="s">
        <v>1008</v>
      </c>
      <c r="BS1" s="54" t="s">
        <v>1009</v>
      </c>
      <c r="BT1" s="54" t="s">
        <v>595</v>
      </c>
      <c r="BU1" s="54" t="s">
        <v>88</v>
      </c>
      <c r="BV1" s="27" t="s">
        <v>45</v>
      </c>
    </row>
    <row r="2" spans="1:74">
      <c r="A2" s="9" t="str">
        <f>IF(B2="", "", 1)</f>
        <v/>
      </c>
      <c r="B2" s="42" t="str">
        <f>IF(OR('Water Cooled Chillers'!AI10="No", 'Water Cooled Chillers'!D10="", 'Water Cooled Chillers'!Q10=""), "", 'Water Cooled Chillers'!AJ10)</f>
        <v/>
      </c>
      <c r="C2" s="9" t="str">
        <f>IF(B2="", "", 'Project Summary'!$C$7)</f>
        <v/>
      </c>
      <c r="D2" s="9" t="str">
        <f>IF(B2="", "", CONCATENATE('Project Summary'!$C$4, " - ", 'Project Summary'!$C$7))</f>
        <v/>
      </c>
      <c r="E2" s="6" t="str">
        <f>IF(B2="", "", "FPHVPR")</f>
        <v/>
      </c>
      <c r="F2" s="9" t="str">
        <f>IF(B2="", "", 'Project Summary'!$C$8)</f>
        <v/>
      </c>
      <c r="G2" s="9" t="str">
        <f>IF(B2="", "", 'Water Cooled Chillers'!AL10)</f>
        <v/>
      </c>
      <c r="H2" s="9" t="str">
        <f>IF(B2="", "", CONCATENATE(C2, A2))</f>
        <v/>
      </c>
      <c r="I2" s="10" t="str">
        <f>IF(B2="", "", 'Lookup Tables'!$C$2)</f>
        <v/>
      </c>
      <c r="J2" s="9" t="str">
        <f>IF(B2="", "", 'Water Cooled Chillers'!D10)</f>
        <v/>
      </c>
      <c r="K2" s="9" t="str">
        <f>IF(B2="", "", 'Water Cooled Chillers'!O10)</f>
        <v/>
      </c>
      <c r="L2" s="204" t="str">
        <f>IF(B2="", "", 'Water Cooled Chillers'!AK10)</f>
        <v/>
      </c>
      <c r="M2" s="204" t="str">
        <f>IF(B2="", "", 'Water Cooled Chillers'!L10)</f>
        <v/>
      </c>
      <c r="N2" s="9" t="str">
        <f>IF(B2="", "", 'Water Cooled Chillers'!C10)</f>
        <v/>
      </c>
      <c r="O2" s="9" t="str">
        <f>IF(B2="", "", 'Water Cooled Chillers'!E10)</f>
        <v/>
      </c>
      <c r="P2" s="9" t="str">
        <f>IF(B2="", "", 'Water Cooled Chillers'!M10)</f>
        <v/>
      </c>
      <c r="Q2" s="9" t="str">
        <f>IF(B2="", "", 'Water Cooled Chillers'!N10)</f>
        <v/>
      </c>
      <c r="R2" s="9" t="str">
        <f>IF(B2="", "", 'Water Cooled Chillers'!Q10)</f>
        <v/>
      </c>
      <c r="S2" s="9" t="s">
        <v>1010</v>
      </c>
      <c r="T2" s="9" t="str">
        <f>IF(B2="", "", 'Water Cooled Chillers'!K10)</f>
        <v/>
      </c>
      <c r="U2" s="9" t="s">
        <v>1010</v>
      </c>
      <c r="V2" s="9" t="str">
        <f>IF(B2="", "", 'Water Cooled Chillers'!P10)</f>
        <v/>
      </c>
      <c r="W2" s="9" t="s">
        <v>1010</v>
      </c>
      <c r="X2" s="9" t="s">
        <v>1010</v>
      </c>
      <c r="Y2" s="202" t="str">
        <f>IF(OR(B2="", 'Water Cooled Chillers'!H10=""), "", 'Water Cooled Chillers'!H10)</f>
        <v/>
      </c>
      <c r="Z2" s="29" t="s">
        <v>1010</v>
      </c>
      <c r="AA2" s="29" t="s">
        <v>1010</v>
      </c>
      <c r="AB2" s="29" t="str">
        <f>IF(B2="", "", 'Water Cooled Chillers'!AD10)</f>
        <v/>
      </c>
      <c r="AC2" s="29" t="s">
        <v>1010</v>
      </c>
      <c r="AD2" s="29" t="s">
        <v>1010</v>
      </c>
      <c r="AE2" s="29" t="str">
        <f>IF(B2="", "", 'Water Cooled Chillers'!V10)</f>
        <v/>
      </c>
      <c r="AF2" s="29" t="s">
        <v>1010</v>
      </c>
      <c r="AG2" s="29" t="s">
        <v>1010</v>
      </c>
      <c r="AH2" s="29" t="str">
        <f>IF(B2="", "", 'Water Cooled Chillers'!X10)</f>
        <v/>
      </c>
      <c r="AI2" s="29" t="s">
        <v>1010</v>
      </c>
      <c r="AJ2" s="29" t="s">
        <v>1010</v>
      </c>
      <c r="AK2" s="29" t="str">
        <f>IF(B2="", "", 'Water Cooled Chillers'!AB10)</f>
        <v/>
      </c>
      <c r="AL2" s="29" t="s">
        <v>1010</v>
      </c>
      <c r="AM2" s="29" t="s">
        <v>1010</v>
      </c>
      <c r="AN2" s="29" t="str">
        <f>IF(B2="", "", 'Water Cooled Chillers'!S10)</f>
        <v/>
      </c>
      <c r="AO2" s="45" t="s">
        <v>1010</v>
      </c>
      <c r="AP2" s="29" t="s">
        <v>1010</v>
      </c>
      <c r="AQ2" s="29"/>
      <c r="AR2" s="29" t="str">
        <f>IF(B2="", "", 'Water Cooled Chillers'!U10)</f>
        <v/>
      </c>
      <c r="AS2" s="29" t="s">
        <v>1010</v>
      </c>
      <c r="AT2" s="29" t="s">
        <v>1010</v>
      </c>
      <c r="AU2" s="29" t="s">
        <v>1010</v>
      </c>
      <c r="AV2" s="29" t="s">
        <v>1010</v>
      </c>
      <c r="AW2" s="29" t="s">
        <v>1010</v>
      </c>
      <c r="AX2" s="29" t="s">
        <v>1010</v>
      </c>
      <c r="AY2" s="9" t="str">
        <f>IF(B2="", "", 'Water Cooled Chillers'!Z10)</f>
        <v/>
      </c>
      <c r="AZ2" s="9" t="s">
        <v>1010</v>
      </c>
      <c r="BA2" s="9" t="s">
        <v>1010</v>
      </c>
      <c r="BB2" s="10" t="s">
        <v>1010</v>
      </c>
      <c r="BC2" s="10" t="str">
        <f>IF(B2="", "", 'Water Cooled Chillers'!Y10)</f>
        <v/>
      </c>
      <c r="BD2" s="30" t="s">
        <v>1010</v>
      </c>
      <c r="BE2" s="30" t="s">
        <v>1010</v>
      </c>
      <c r="BF2" s="30" t="s">
        <v>1010</v>
      </c>
      <c r="BG2" s="5" t="s">
        <v>1010</v>
      </c>
      <c r="BH2" s="204" t="s">
        <v>1010</v>
      </c>
      <c r="BI2" s="204" t="s">
        <v>1010</v>
      </c>
      <c r="BJ2" s="9" t="s">
        <v>1010</v>
      </c>
      <c r="BK2" s="44" t="s">
        <v>1010</v>
      </c>
      <c r="BL2" s="44" t="s">
        <v>1010</v>
      </c>
      <c r="BM2" s="205" t="s">
        <v>1010</v>
      </c>
      <c r="BN2" s="205" t="s">
        <v>1010</v>
      </c>
      <c r="BO2" s="205" t="s">
        <v>1010</v>
      </c>
      <c r="BP2" s="204" t="str">
        <f>IF(B2="", "", 'Water Cooled Chillers'!$T$31)</f>
        <v/>
      </c>
      <c r="BQ2" s="205" t="str">
        <f>IF(B2="", "", 'Water Cooled Chillers'!AE10)</f>
        <v/>
      </c>
      <c r="BR2" s="205" t="str">
        <f>IF(B2="", "", 'Water Cooled Chillers'!AE10)</f>
        <v/>
      </c>
      <c r="BS2" s="205" t="str">
        <f>IF(B2="", "", 'Water Cooled Chillers'!AF10)</f>
        <v/>
      </c>
      <c r="BT2" s="44" t="s">
        <v>1010</v>
      </c>
      <c r="BU2" s="44" t="str">
        <f>IF(B2="", "", 'Water Cooled Chillers'!AF10)</f>
        <v/>
      </c>
      <c r="BV2" s="10" t="str">
        <f>IF(B2="", "", 'Water Cooled Chillers'!AG10)</f>
        <v/>
      </c>
    </row>
    <row r="3" spans="1:74">
      <c r="A3" s="9" t="str">
        <f>IF(B3="", "", 2)</f>
        <v/>
      </c>
      <c r="B3" s="42" t="str">
        <f>IF(OR('Water Cooled Chillers'!AI11="No", 'Water Cooled Chillers'!D11="", 'Water Cooled Chillers'!Q11=""), "", 'Water Cooled Chillers'!AJ11)</f>
        <v/>
      </c>
      <c r="C3" s="9" t="str">
        <f>IF(B3="", "", 'Project Summary'!$C$7)</f>
        <v/>
      </c>
      <c r="D3" s="9" t="str">
        <f>IF(B3="", "", CONCATENATE('Project Summary'!$C$4, " - ", 'Project Summary'!$C$7))</f>
        <v/>
      </c>
      <c r="E3" s="6" t="str">
        <f t="shared" ref="E3:E25" si="0">IF(B3="", "", "FPHVPR")</f>
        <v/>
      </c>
      <c r="F3" s="9" t="str">
        <f>IF(B3="", "", 'Project Summary'!$C$8)</f>
        <v/>
      </c>
      <c r="G3" s="9" t="str">
        <f>IF(B3="", "", 'Water Cooled Chillers'!AL11)</f>
        <v/>
      </c>
      <c r="H3" s="9" t="str">
        <f t="shared" ref="H3:H17" si="1">IF(B3="", "", CONCATENATE(C3, A3))</f>
        <v/>
      </c>
      <c r="I3" s="10" t="str">
        <f>IF(B3="", "", 'Lookup Tables'!$C$2)</f>
        <v/>
      </c>
      <c r="J3" s="9" t="str">
        <f>IF(B3="", "", 'Water Cooled Chillers'!D11)</f>
        <v/>
      </c>
      <c r="K3" s="9" t="str">
        <f>IF(B3="", "", 'Water Cooled Chillers'!O11)</f>
        <v/>
      </c>
      <c r="L3" s="204" t="str">
        <f>IF(B3="", "", 'Water Cooled Chillers'!AK11)</f>
        <v/>
      </c>
      <c r="M3" s="204" t="str">
        <f>IF(B3="", "", 'Water Cooled Chillers'!L11)</f>
        <v/>
      </c>
      <c r="N3" s="9" t="str">
        <f>IF(B3="", "", 'Water Cooled Chillers'!C11)</f>
        <v/>
      </c>
      <c r="O3" s="9" t="str">
        <f>IF(B3="", "", 'Water Cooled Chillers'!E11)</f>
        <v/>
      </c>
      <c r="P3" s="9" t="str">
        <f>IF(B3="", "", 'Water Cooled Chillers'!M11)</f>
        <v/>
      </c>
      <c r="Q3" s="9" t="str">
        <f>IF(B3="", "", 'Water Cooled Chillers'!N11)</f>
        <v/>
      </c>
      <c r="R3" s="9" t="str">
        <f>IF(B3="", "", 'Water Cooled Chillers'!Q11)</f>
        <v/>
      </c>
      <c r="S3" s="9" t="s">
        <v>1010</v>
      </c>
      <c r="T3" s="9" t="str">
        <f>IF(B3="", "", 'Water Cooled Chillers'!K11)</f>
        <v/>
      </c>
      <c r="U3" s="9" t="s">
        <v>1010</v>
      </c>
      <c r="V3" s="9" t="str">
        <f>IF(B3="", "", 'Water Cooled Chillers'!P11)</f>
        <v/>
      </c>
      <c r="W3" s="9" t="s">
        <v>1010</v>
      </c>
      <c r="X3" s="9" t="s">
        <v>1010</v>
      </c>
      <c r="Y3" s="202" t="str">
        <f>IF(OR(B3="", 'Water Cooled Chillers'!H11=""), "", 'Water Cooled Chillers'!H11)</f>
        <v/>
      </c>
      <c r="Z3" s="29" t="s">
        <v>1010</v>
      </c>
      <c r="AA3" s="29" t="s">
        <v>1010</v>
      </c>
      <c r="AB3" s="29" t="str">
        <f>IF(B3="", "", 'Water Cooled Chillers'!AD11)</f>
        <v/>
      </c>
      <c r="AC3" s="29" t="s">
        <v>1010</v>
      </c>
      <c r="AD3" s="29" t="s">
        <v>1010</v>
      </c>
      <c r="AE3" s="29" t="str">
        <f>IF(B3="", "", 'Water Cooled Chillers'!V11)</f>
        <v/>
      </c>
      <c r="AF3" s="29" t="s">
        <v>1010</v>
      </c>
      <c r="AG3" s="29" t="s">
        <v>1010</v>
      </c>
      <c r="AH3" s="29" t="str">
        <f>IF(B3="", "", 'Water Cooled Chillers'!X11)</f>
        <v/>
      </c>
      <c r="AI3" s="29" t="s">
        <v>1010</v>
      </c>
      <c r="AJ3" s="29" t="s">
        <v>1010</v>
      </c>
      <c r="AK3" s="29" t="str">
        <f>IF(B3="", "", 'Water Cooled Chillers'!AB11)</f>
        <v/>
      </c>
      <c r="AL3" s="29" t="s">
        <v>1010</v>
      </c>
      <c r="AM3" s="29" t="s">
        <v>1010</v>
      </c>
      <c r="AN3" s="29" t="str">
        <f>IF(B3="", "", 'Water Cooled Chillers'!S11)</f>
        <v/>
      </c>
      <c r="AO3" s="45" t="s">
        <v>1010</v>
      </c>
      <c r="AP3" s="29" t="s">
        <v>1010</v>
      </c>
      <c r="AQ3" s="29"/>
      <c r="AR3" s="29" t="str">
        <f>IF(B3="", "", 'Water Cooled Chillers'!U11)</f>
        <v/>
      </c>
      <c r="AS3" s="29" t="s">
        <v>1010</v>
      </c>
      <c r="AT3" s="29" t="s">
        <v>1010</v>
      </c>
      <c r="AU3" s="29" t="s">
        <v>1010</v>
      </c>
      <c r="AV3" s="29" t="s">
        <v>1010</v>
      </c>
      <c r="AW3" s="29" t="s">
        <v>1010</v>
      </c>
      <c r="AX3" s="29" t="s">
        <v>1010</v>
      </c>
      <c r="AY3" s="9" t="str">
        <f>IF(B3="", "", 'Water Cooled Chillers'!Z11)</f>
        <v/>
      </c>
      <c r="AZ3" s="9" t="s">
        <v>1010</v>
      </c>
      <c r="BA3" s="9" t="s">
        <v>1010</v>
      </c>
      <c r="BB3" s="10" t="s">
        <v>1010</v>
      </c>
      <c r="BC3" s="10" t="str">
        <f>IF(B3="", "", 'Water Cooled Chillers'!Y11)</f>
        <v/>
      </c>
      <c r="BD3" s="30" t="s">
        <v>1010</v>
      </c>
      <c r="BE3" s="30" t="s">
        <v>1010</v>
      </c>
      <c r="BF3" s="30" t="s">
        <v>1010</v>
      </c>
      <c r="BG3" s="5" t="s">
        <v>1010</v>
      </c>
      <c r="BH3" s="204" t="s">
        <v>1010</v>
      </c>
      <c r="BI3" s="204" t="s">
        <v>1010</v>
      </c>
      <c r="BJ3" s="9" t="s">
        <v>1010</v>
      </c>
      <c r="BK3" s="44" t="s">
        <v>1010</v>
      </c>
      <c r="BL3" s="44" t="s">
        <v>1010</v>
      </c>
      <c r="BM3" s="205" t="s">
        <v>1010</v>
      </c>
      <c r="BN3" s="205" t="s">
        <v>1010</v>
      </c>
      <c r="BO3" s="205" t="s">
        <v>1010</v>
      </c>
      <c r="BP3" s="204" t="str">
        <f>IF(B3="", "", 'Water Cooled Chillers'!$T$31)</f>
        <v/>
      </c>
      <c r="BQ3" s="205" t="str">
        <f>IF(B3="", "", 'Water Cooled Chillers'!AE11)</f>
        <v/>
      </c>
      <c r="BR3" s="205" t="str">
        <f>IF(B3="", "", 'Water Cooled Chillers'!AE11)</f>
        <v/>
      </c>
      <c r="BS3" s="205" t="str">
        <f>IF(B3="", "", 'Water Cooled Chillers'!AF11)</f>
        <v/>
      </c>
      <c r="BT3" s="44" t="s">
        <v>1010</v>
      </c>
      <c r="BU3" s="44" t="str">
        <f>IF(B3="", "", 'Water Cooled Chillers'!AF11)</f>
        <v/>
      </c>
      <c r="BV3" s="10" t="str">
        <f>IF(B3="", "", 'Water Cooled Chillers'!AG11)</f>
        <v/>
      </c>
    </row>
    <row r="4" spans="1:74">
      <c r="A4" s="9" t="str">
        <f>IF(B4="", "", 3)</f>
        <v/>
      </c>
      <c r="B4" s="42" t="str">
        <f>IF(OR('Water Cooled Chillers'!AI12="No", 'Water Cooled Chillers'!D12="", 'Water Cooled Chillers'!Q12=""), "", 'Water Cooled Chillers'!AJ12)</f>
        <v/>
      </c>
      <c r="C4" s="9" t="str">
        <f>IF(B4="", "", 'Project Summary'!$C$7)</f>
        <v/>
      </c>
      <c r="D4" s="9" t="str">
        <f>IF(B4="", "", CONCATENATE('Project Summary'!$C$4, " - ", 'Project Summary'!$C$7))</f>
        <v/>
      </c>
      <c r="E4" s="6" t="str">
        <f t="shared" si="0"/>
        <v/>
      </c>
      <c r="F4" s="9" t="str">
        <f>IF(B4="", "", 'Project Summary'!$C$8)</f>
        <v/>
      </c>
      <c r="G4" s="9" t="str">
        <f>IF(B4="", "", 'Water Cooled Chillers'!AL12)</f>
        <v/>
      </c>
      <c r="H4" s="9" t="str">
        <f t="shared" si="1"/>
        <v/>
      </c>
      <c r="I4" s="10" t="str">
        <f>IF(B4="", "", 'Lookup Tables'!$C$2)</f>
        <v/>
      </c>
      <c r="J4" s="9" t="str">
        <f>IF(B4="", "", 'Water Cooled Chillers'!D12)</f>
        <v/>
      </c>
      <c r="K4" s="9" t="str">
        <f>IF(B4="", "", 'Water Cooled Chillers'!O12)</f>
        <v/>
      </c>
      <c r="L4" s="204" t="str">
        <f>IF(B4="", "", 'Water Cooled Chillers'!AK12)</f>
        <v/>
      </c>
      <c r="M4" s="204" t="str">
        <f>IF(B4="", "", 'Water Cooled Chillers'!L12)</f>
        <v/>
      </c>
      <c r="N4" s="9" t="str">
        <f>IF(B4="", "", 'Water Cooled Chillers'!C12)</f>
        <v/>
      </c>
      <c r="O4" s="9" t="str">
        <f>IF(B4="", "", 'Water Cooled Chillers'!E12)</f>
        <v/>
      </c>
      <c r="P4" s="9" t="str">
        <f>IF(B4="", "", 'Water Cooled Chillers'!M12)</f>
        <v/>
      </c>
      <c r="Q4" s="9" t="str">
        <f>IF(B4="", "", 'Water Cooled Chillers'!N12)</f>
        <v/>
      </c>
      <c r="R4" s="9" t="str">
        <f>IF(B4="", "", 'Water Cooled Chillers'!Q12)</f>
        <v/>
      </c>
      <c r="S4" s="9" t="s">
        <v>1010</v>
      </c>
      <c r="T4" s="9" t="str">
        <f>IF(B4="", "", 'Water Cooled Chillers'!K12)</f>
        <v/>
      </c>
      <c r="U4" s="9" t="s">
        <v>1010</v>
      </c>
      <c r="V4" s="9" t="str">
        <f>IF(B4="", "", 'Water Cooled Chillers'!P12)</f>
        <v/>
      </c>
      <c r="W4" s="9" t="s">
        <v>1010</v>
      </c>
      <c r="X4" s="9" t="s">
        <v>1010</v>
      </c>
      <c r="Y4" s="202" t="str">
        <f>IF(OR(B4="", 'Water Cooled Chillers'!H12=""), "", 'Water Cooled Chillers'!H12)</f>
        <v/>
      </c>
      <c r="Z4" s="29" t="s">
        <v>1010</v>
      </c>
      <c r="AA4" s="29" t="s">
        <v>1010</v>
      </c>
      <c r="AB4" s="29" t="str">
        <f>IF(B4="", "", 'Water Cooled Chillers'!AD12)</f>
        <v/>
      </c>
      <c r="AC4" s="29" t="s">
        <v>1010</v>
      </c>
      <c r="AD4" s="29" t="s">
        <v>1010</v>
      </c>
      <c r="AE4" s="29" t="str">
        <f>IF(B4="", "", 'Water Cooled Chillers'!V12)</f>
        <v/>
      </c>
      <c r="AF4" s="29" t="s">
        <v>1010</v>
      </c>
      <c r="AG4" s="29" t="s">
        <v>1010</v>
      </c>
      <c r="AH4" s="29" t="str">
        <f>IF(B4="", "", 'Water Cooled Chillers'!X12)</f>
        <v/>
      </c>
      <c r="AI4" s="29" t="s">
        <v>1010</v>
      </c>
      <c r="AJ4" s="29" t="s">
        <v>1010</v>
      </c>
      <c r="AK4" s="29" t="str">
        <f>IF(B4="", "", 'Water Cooled Chillers'!AB12)</f>
        <v/>
      </c>
      <c r="AL4" s="29" t="s">
        <v>1010</v>
      </c>
      <c r="AM4" s="29" t="s">
        <v>1010</v>
      </c>
      <c r="AN4" s="29" t="str">
        <f>IF(B4="", "", 'Water Cooled Chillers'!S12)</f>
        <v/>
      </c>
      <c r="AO4" s="45" t="s">
        <v>1010</v>
      </c>
      <c r="AP4" s="29" t="s">
        <v>1010</v>
      </c>
      <c r="AQ4" s="29"/>
      <c r="AR4" s="29" t="str">
        <f>IF(B4="", "", 'Water Cooled Chillers'!U12)</f>
        <v/>
      </c>
      <c r="AS4" s="29" t="s">
        <v>1010</v>
      </c>
      <c r="AT4" s="29" t="s">
        <v>1010</v>
      </c>
      <c r="AU4" s="29" t="s">
        <v>1010</v>
      </c>
      <c r="AV4" s="29" t="s">
        <v>1010</v>
      </c>
      <c r="AW4" s="29" t="s">
        <v>1010</v>
      </c>
      <c r="AX4" s="29" t="s">
        <v>1010</v>
      </c>
      <c r="AY4" s="9" t="str">
        <f>IF(B4="", "", 'Water Cooled Chillers'!Z12)</f>
        <v/>
      </c>
      <c r="AZ4" s="9" t="s">
        <v>1010</v>
      </c>
      <c r="BA4" s="9" t="s">
        <v>1010</v>
      </c>
      <c r="BB4" s="10" t="s">
        <v>1010</v>
      </c>
      <c r="BC4" s="10" t="str">
        <f>IF(B4="", "", 'Water Cooled Chillers'!Y12)</f>
        <v/>
      </c>
      <c r="BD4" s="30" t="s">
        <v>1010</v>
      </c>
      <c r="BE4" s="30" t="s">
        <v>1010</v>
      </c>
      <c r="BF4" s="30" t="s">
        <v>1010</v>
      </c>
      <c r="BG4" s="5" t="s">
        <v>1010</v>
      </c>
      <c r="BH4" s="204" t="s">
        <v>1010</v>
      </c>
      <c r="BI4" s="204" t="s">
        <v>1010</v>
      </c>
      <c r="BJ4" s="9" t="s">
        <v>1010</v>
      </c>
      <c r="BK4" s="44" t="s">
        <v>1010</v>
      </c>
      <c r="BL4" s="44" t="s">
        <v>1010</v>
      </c>
      <c r="BM4" s="205" t="s">
        <v>1010</v>
      </c>
      <c r="BN4" s="205" t="s">
        <v>1010</v>
      </c>
      <c r="BO4" s="205" t="s">
        <v>1010</v>
      </c>
      <c r="BP4" s="204" t="str">
        <f>IF(B4="", "", 'Water Cooled Chillers'!$T$31)</f>
        <v/>
      </c>
      <c r="BQ4" s="205" t="str">
        <f>IF(B4="", "", 'Water Cooled Chillers'!AE12)</f>
        <v/>
      </c>
      <c r="BR4" s="205" t="str">
        <f>IF(B4="", "", 'Water Cooled Chillers'!AE12)</f>
        <v/>
      </c>
      <c r="BS4" s="205" t="str">
        <f>IF(B4="", "", 'Water Cooled Chillers'!AF12)</f>
        <v/>
      </c>
      <c r="BT4" s="44" t="s">
        <v>1010</v>
      </c>
      <c r="BU4" s="44" t="str">
        <f>IF(B4="", "", 'Water Cooled Chillers'!AF12)</f>
        <v/>
      </c>
      <c r="BV4" s="10" t="str">
        <f>IF(B4="", "", 'Water Cooled Chillers'!AG12)</f>
        <v/>
      </c>
    </row>
    <row r="5" spans="1:74">
      <c r="A5" s="9" t="str">
        <f>IF(B5="", "", 4)</f>
        <v/>
      </c>
      <c r="B5" s="42" t="str">
        <f>IF(OR('Water Cooled Chillers'!AI13="No", 'Water Cooled Chillers'!D13="", 'Water Cooled Chillers'!Q13=""), "", 'Water Cooled Chillers'!AJ13)</f>
        <v/>
      </c>
      <c r="C5" s="9" t="str">
        <f>IF(B5="", "", 'Project Summary'!$C$7)</f>
        <v/>
      </c>
      <c r="D5" s="9" t="str">
        <f>IF(B5="", "", CONCATENATE('Project Summary'!$C$4, " - ", 'Project Summary'!$C$7))</f>
        <v/>
      </c>
      <c r="E5" s="6" t="str">
        <f t="shared" si="0"/>
        <v/>
      </c>
      <c r="F5" s="9" t="str">
        <f>IF(B5="", "", 'Project Summary'!$C$8)</f>
        <v/>
      </c>
      <c r="G5" s="9" t="str">
        <f>IF(B5="", "", 'Water Cooled Chillers'!AL13)</f>
        <v/>
      </c>
      <c r="H5" s="9" t="str">
        <f t="shared" si="1"/>
        <v/>
      </c>
      <c r="I5" s="10" t="str">
        <f>IF(B5="", "", 'Lookup Tables'!$C$2)</f>
        <v/>
      </c>
      <c r="J5" s="9" t="str">
        <f>IF(B5="", "", 'Water Cooled Chillers'!D13)</f>
        <v/>
      </c>
      <c r="K5" s="9" t="str">
        <f>IF(B5="", "", 'Water Cooled Chillers'!O13)</f>
        <v/>
      </c>
      <c r="L5" s="204" t="str">
        <f>IF(B5="", "", 'Water Cooled Chillers'!AK13)</f>
        <v/>
      </c>
      <c r="M5" s="204" t="str">
        <f>IF(B5="", "", 'Water Cooled Chillers'!L13)</f>
        <v/>
      </c>
      <c r="N5" s="9" t="str">
        <f>IF(B5="", "", 'Water Cooled Chillers'!C13)</f>
        <v/>
      </c>
      <c r="O5" s="9" t="str">
        <f>IF(B5="", "", 'Water Cooled Chillers'!E13)</f>
        <v/>
      </c>
      <c r="P5" s="9" t="str">
        <f>IF(B5="", "", 'Water Cooled Chillers'!M13)</f>
        <v/>
      </c>
      <c r="Q5" s="9" t="str">
        <f>IF(B5="", "", 'Water Cooled Chillers'!N13)</f>
        <v/>
      </c>
      <c r="R5" s="9" t="str">
        <f>IF(B5="", "", 'Water Cooled Chillers'!Q13)</f>
        <v/>
      </c>
      <c r="S5" s="9" t="s">
        <v>1010</v>
      </c>
      <c r="T5" s="9" t="str">
        <f>IF(B5="", "", 'Water Cooled Chillers'!K13)</f>
        <v/>
      </c>
      <c r="U5" s="9" t="s">
        <v>1010</v>
      </c>
      <c r="V5" s="9" t="str">
        <f>IF(B5="", "", 'Water Cooled Chillers'!P13)</f>
        <v/>
      </c>
      <c r="W5" s="9" t="s">
        <v>1010</v>
      </c>
      <c r="X5" s="9" t="s">
        <v>1010</v>
      </c>
      <c r="Y5" s="202" t="str">
        <f>IF(OR(B5="", 'Water Cooled Chillers'!H13=""), "", 'Water Cooled Chillers'!H13)</f>
        <v/>
      </c>
      <c r="Z5" s="29" t="s">
        <v>1010</v>
      </c>
      <c r="AA5" s="29" t="s">
        <v>1010</v>
      </c>
      <c r="AB5" s="29" t="str">
        <f>IF(B5="", "", 'Water Cooled Chillers'!AD13)</f>
        <v/>
      </c>
      <c r="AC5" s="29" t="s">
        <v>1010</v>
      </c>
      <c r="AD5" s="29" t="s">
        <v>1010</v>
      </c>
      <c r="AE5" s="29" t="str">
        <f>IF(B5="", "", 'Water Cooled Chillers'!V13)</f>
        <v/>
      </c>
      <c r="AF5" s="29" t="s">
        <v>1010</v>
      </c>
      <c r="AG5" s="29" t="s">
        <v>1010</v>
      </c>
      <c r="AH5" s="29" t="str">
        <f>IF(B5="", "", 'Water Cooled Chillers'!X13)</f>
        <v/>
      </c>
      <c r="AI5" s="29" t="s">
        <v>1010</v>
      </c>
      <c r="AJ5" s="29" t="s">
        <v>1010</v>
      </c>
      <c r="AK5" s="29" t="str">
        <f>IF(B5="", "", 'Water Cooled Chillers'!AB13)</f>
        <v/>
      </c>
      <c r="AL5" s="29" t="s">
        <v>1010</v>
      </c>
      <c r="AM5" s="29" t="s">
        <v>1010</v>
      </c>
      <c r="AN5" s="29" t="str">
        <f>IF(B5="", "", 'Water Cooled Chillers'!S13)</f>
        <v/>
      </c>
      <c r="AO5" s="45" t="s">
        <v>1010</v>
      </c>
      <c r="AP5" s="29" t="s">
        <v>1010</v>
      </c>
      <c r="AQ5" s="29"/>
      <c r="AR5" s="29" t="str">
        <f>IF(B5="", "", 'Water Cooled Chillers'!U13)</f>
        <v/>
      </c>
      <c r="AS5" s="29" t="s">
        <v>1010</v>
      </c>
      <c r="AT5" s="29" t="s">
        <v>1010</v>
      </c>
      <c r="AU5" s="29" t="s">
        <v>1010</v>
      </c>
      <c r="AV5" s="29" t="s">
        <v>1010</v>
      </c>
      <c r="AW5" s="29" t="s">
        <v>1010</v>
      </c>
      <c r="AX5" s="29" t="s">
        <v>1010</v>
      </c>
      <c r="AY5" s="9" t="str">
        <f>IF(B5="", "", 'Water Cooled Chillers'!Z13)</f>
        <v/>
      </c>
      <c r="AZ5" s="9" t="s">
        <v>1010</v>
      </c>
      <c r="BA5" s="9" t="s">
        <v>1010</v>
      </c>
      <c r="BB5" s="10" t="s">
        <v>1010</v>
      </c>
      <c r="BC5" s="10" t="str">
        <f>IF(B5="", "", 'Water Cooled Chillers'!Y13)</f>
        <v/>
      </c>
      <c r="BD5" s="30" t="s">
        <v>1010</v>
      </c>
      <c r="BE5" s="30" t="s">
        <v>1010</v>
      </c>
      <c r="BF5" s="30" t="s">
        <v>1010</v>
      </c>
      <c r="BG5" s="5" t="s">
        <v>1010</v>
      </c>
      <c r="BH5" s="204" t="s">
        <v>1010</v>
      </c>
      <c r="BI5" s="204" t="s">
        <v>1010</v>
      </c>
      <c r="BJ5" s="9" t="s">
        <v>1010</v>
      </c>
      <c r="BK5" s="44" t="s">
        <v>1010</v>
      </c>
      <c r="BL5" s="44" t="s">
        <v>1010</v>
      </c>
      <c r="BM5" s="205" t="s">
        <v>1010</v>
      </c>
      <c r="BN5" s="205" t="s">
        <v>1010</v>
      </c>
      <c r="BO5" s="205" t="s">
        <v>1010</v>
      </c>
      <c r="BP5" s="204" t="str">
        <f>IF(B5="", "", 'Water Cooled Chillers'!$T$31)</f>
        <v/>
      </c>
      <c r="BQ5" s="205" t="str">
        <f>IF(B5="", "", 'Water Cooled Chillers'!AE13)</f>
        <v/>
      </c>
      <c r="BR5" s="205" t="str">
        <f>IF(B5="", "", 'Water Cooled Chillers'!AE13)</f>
        <v/>
      </c>
      <c r="BS5" s="205" t="str">
        <f>IF(B5="", "", 'Water Cooled Chillers'!AF13)</f>
        <v/>
      </c>
      <c r="BT5" s="44" t="s">
        <v>1010</v>
      </c>
      <c r="BU5" s="44" t="str">
        <f>IF(B5="", "", 'Water Cooled Chillers'!AF13)</f>
        <v/>
      </c>
      <c r="BV5" s="10" t="str">
        <f>IF(B5="", "", 'Water Cooled Chillers'!AG13)</f>
        <v/>
      </c>
    </row>
    <row r="6" spans="1:74">
      <c r="A6" s="9" t="str">
        <f>IF(B6="", "", 5)</f>
        <v/>
      </c>
      <c r="B6" s="42" t="str">
        <f>IF(OR('Water Cooled Chillers'!AI14="No", 'Water Cooled Chillers'!D14="", 'Water Cooled Chillers'!Q14=""), "", 'Water Cooled Chillers'!AJ14)</f>
        <v/>
      </c>
      <c r="C6" s="9" t="str">
        <f>IF(B6="", "", 'Project Summary'!$C$7)</f>
        <v/>
      </c>
      <c r="D6" s="9" t="str">
        <f>IF(B6="", "", CONCATENATE('Project Summary'!$C$4, " - ", 'Project Summary'!$C$7))</f>
        <v/>
      </c>
      <c r="E6" s="6" t="str">
        <f t="shared" si="0"/>
        <v/>
      </c>
      <c r="F6" s="9" t="str">
        <f>IF(B6="", "", 'Project Summary'!$C$8)</f>
        <v/>
      </c>
      <c r="G6" s="9" t="str">
        <f>IF(B6="", "", 'Water Cooled Chillers'!AL14)</f>
        <v/>
      </c>
      <c r="H6" s="9" t="str">
        <f t="shared" si="1"/>
        <v/>
      </c>
      <c r="I6" s="10" t="str">
        <f>IF(B6="", "", 'Lookup Tables'!$C$2)</f>
        <v/>
      </c>
      <c r="J6" s="9" t="str">
        <f>IF(B6="", "", 'Water Cooled Chillers'!D14)</f>
        <v/>
      </c>
      <c r="K6" s="9" t="str">
        <f>IF(B6="", "", 'Water Cooled Chillers'!O14)</f>
        <v/>
      </c>
      <c r="L6" s="204" t="str">
        <f>IF(B6="", "", 'Water Cooled Chillers'!AK14)</f>
        <v/>
      </c>
      <c r="M6" s="204" t="str">
        <f>IF(B6="", "", 'Water Cooled Chillers'!L14)</f>
        <v/>
      </c>
      <c r="N6" s="9" t="str">
        <f>IF(B6="", "", 'Water Cooled Chillers'!C14)</f>
        <v/>
      </c>
      <c r="O6" s="9" t="str">
        <f>IF(B6="", "", 'Water Cooled Chillers'!E14)</f>
        <v/>
      </c>
      <c r="P6" s="9" t="str">
        <f>IF(B6="", "", 'Water Cooled Chillers'!M14)</f>
        <v/>
      </c>
      <c r="Q6" s="9" t="str">
        <f>IF(B6="", "", 'Water Cooled Chillers'!N14)</f>
        <v/>
      </c>
      <c r="R6" s="9" t="str">
        <f>IF(B6="", "", 'Water Cooled Chillers'!Q14)</f>
        <v/>
      </c>
      <c r="S6" s="9" t="s">
        <v>1010</v>
      </c>
      <c r="T6" s="9" t="str">
        <f>IF(B6="", "", 'Water Cooled Chillers'!K14)</f>
        <v/>
      </c>
      <c r="U6" s="9" t="s">
        <v>1010</v>
      </c>
      <c r="V6" s="9" t="str">
        <f>IF(B6="", "", 'Water Cooled Chillers'!P14)</f>
        <v/>
      </c>
      <c r="W6" s="9" t="s">
        <v>1010</v>
      </c>
      <c r="X6" s="9" t="s">
        <v>1010</v>
      </c>
      <c r="Y6" s="202" t="str">
        <f>IF(OR(B6="", 'Water Cooled Chillers'!H14=""), "", 'Water Cooled Chillers'!H14)</f>
        <v/>
      </c>
      <c r="Z6" s="29" t="s">
        <v>1010</v>
      </c>
      <c r="AA6" s="29" t="s">
        <v>1010</v>
      </c>
      <c r="AB6" s="29" t="str">
        <f>IF(B6="", "", 'Water Cooled Chillers'!AD14)</f>
        <v/>
      </c>
      <c r="AC6" s="29" t="s">
        <v>1010</v>
      </c>
      <c r="AD6" s="29" t="s">
        <v>1010</v>
      </c>
      <c r="AE6" s="29" t="str">
        <f>IF(B6="", "", 'Water Cooled Chillers'!V14)</f>
        <v/>
      </c>
      <c r="AF6" s="29" t="s">
        <v>1010</v>
      </c>
      <c r="AG6" s="29" t="s">
        <v>1010</v>
      </c>
      <c r="AH6" s="29" t="str">
        <f>IF(B6="", "", 'Water Cooled Chillers'!X14)</f>
        <v/>
      </c>
      <c r="AI6" s="29" t="s">
        <v>1010</v>
      </c>
      <c r="AJ6" s="29" t="s">
        <v>1010</v>
      </c>
      <c r="AK6" s="29" t="str">
        <f>IF(B6="", "", 'Water Cooled Chillers'!AB14)</f>
        <v/>
      </c>
      <c r="AL6" s="29" t="s">
        <v>1010</v>
      </c>
      <c r="AM6" s="29" t="s">
        <v>1010</v>
      </c>
      <c r="AN6" s="29" t="str">
        <f>IF(B6="", "", 'Water Cooled Chillers'!S14)</f>
        <v/>
      </c>
      <c r="AO6" s="45" t="s">
        <v>1010</v>
      </c>
      <c r="AP6" s="29" t="s">
        <v>1010</v>
      </c>
      <c r="AQ6" s="29"/>
      <c r="AR6" s="29" t="str">
        <f>IF(B6="", "", 'Water Cooled Chillers'!U14)</f>
        <v/>
      </c>
      <c r="AS6" s="29" t="s">
        <v>1010</v>
      </c>
      <c r="AT6" s="29" t="s">
        <v>1010</v>
      </c>
      <c r="AU6" s="29" t="s">
        <v>1010</v>
      </c>
      <c r="AV6" s="29" t="s">
        <v>1010</v>
      </c>
      <c r="AW6" s="29" t="s">
        <v>1010</v>
      </c>
      <c r="AX6" s="29" t="s">
        <v>1010</v>
      </c>
      <c r="AY6" s="9" t="str">
        <f>IF(B6="", "", 'Water Cooled Chillers'!Z14)</f>
        <v/>
      </c>
      <c r="AZ6" s="9" t="s">
        <v>1010</v>
      </c>
      <c r="BA6" s="9" t="s">
        <v>1010</v>
      </c>
      <c r="BB6" s="10" t="s">
        <v>1010</v>
      </c>
      <c r="BC6" s="10" t="str">
        <f>IF(B6="", "", 'Water Cooled Chillers'!Y14)</f>
        <v/>
      </c>
      <c r="BD6" s="30" t="s">
        <v>1010</v>
      </c>
      <c r="BE6" s="30" t="s">
        <v>1010</v>
      </c>
      <c r="BF6" s="30" t="s">
        <v>1010</v>
      </c>
      <c r="BG6" s="5" t="s">
        <v>1010</v>
      </c>
      <c r="BH6" s="204" t="s">
        <v>1010</v>
      </c>
      <c r="BI6" s="204" t="s">
        <v>1010</v>
      </c>
      <c r="BJ6" s="9" t="s">
        <v>1010</v>
      </c>
      <c r="BK6" s="44" t="s">
        <v>1010</v>
      </c>
      <c r="BL6" s="44" t="s">
        <v>1010</v>
      </c>
      <c r="BM6" s="205" t="s">
        <v>1010</v>
      </c>
      <c r="BN6" s="205" t="s">
        <v>1010</v>
      </c>
      <c r="BO6" s="205" t="s">
        <v>1010</v>
      </c>
      <c r="BP6" s="204" t="str">
        <f>IF(B6="", "", 'Water Cooled Chillers'!$T$31)</f>
        <v/>
      </c>
      <c r="BQ6" s="205" t="str">
        <f>IF(B6="", "", 'Water Cooled Chillers'!AE14)</f>
        <v/>
      </c>
      <c r="BR6" s="205" t="str">
        <f>IF(B6="", "", 'Water Cooled Chillers'!AE14)</f>
        <v/>
      </c>
      <c r="BS6" s="205" t="str">
        <f>IF(B6="", "", 'Water Cooled Chillers'!AF14)</f>
        <v/>
      </c>
      <c r="BT6" s="44" t="s">
        <v>1010</v>
      </c>
      <c r="BU6" s="44" t="str">
        <f>IF(B6="", "", 'Water Cooled Chillers'!AF14)</f>
        <v/>
      </c>
      <c r="BV6" s="10" t="str">
        <f>IF(B6="", "", 'Water Cooled Chillers'!AG14)</f>
        <v/>
      </c>
    </row>
    <row r="7" spans="1:74">
      <c r="A7" s="9" t="str">
        <f>IF(B7="", "", 6)</f>
        <v/>
      </c>
      <c r="B7" s="42" t="str">
        <f>IF(OR('Water Cooled Chillers'!AI15="No", 'Water Cooled Chillers'!D15="", 'Water Cooled Chillers'!Q15=""), "", 'Water Cooled Chillers'!AJ15)</f>
        <v/>
      </c>
      <c r="C7" s="9" t="str">
        <f>IF(B7="", "", 'Project Summary'!$C$7)</f>
        <v/>
      </c>
      <c r="D7" s="9" t="str">
        <f>IF(B7="", "", CONCATENATE('Project Summary'!$C$4, " - ", 'Project Summary'!$C$7))</f>
        <v/>
      </c>
      <c r="E7" s="6" t="str">
        <f t="shared" si="0"/>
        <v/>
      </c>
      <c r="F7" s="9" t="str">
        <f>IF(B7="", "", 'Project Summary'!$C$8)</f>
        <v/>
      </c>
      <c r="G7" s="9" t="str">
        <f>IF(B7="", "", 'Water Cooled Chillers'!AL15)</f>
        <v/>
      </c>
      <c r="H7" s="9" t="str">
        <f t="shared" si="1"/>
        <v/>
      </c>
      <c r="I7" s="10" t="str">
        <f>IF(B7="", "", 'Lookup Tables'!$C$2)</f>
        <v/>
      </c>
      <c r="J7" s="9" t="str">
        <f>IF(B7="", "", 'Water Cooled Chillers'!D15)</f>
        <v/>
      </c>
      <c r="K7" s="9" t="str">
        <f>IF(B7="", "", 'Water Cooled Chillers'!O15)</f>
        <v/>
      </c>
      <c r="L7" s="204" t="str">
        <f>IF(B7="", "", 'Water Cooled Chillers'!AK15)</f>
        <v/>
      </c>
      <c r="M7" s="204" t="str">
        <f>IF(B7="", "", 'Water Cooled Chillers'!L15)</f>
        <v/>
      </c>
      <c r="N7" s="9" t="str">
        <f>IF(B7="", "", 'Water Cooled Chillers'!C15)</f>
        <v/>
      </c>
      <c r="O7" s="9" t="str">
        <f>IF(B7="", "", 'Water Cooled Chillers'!E15)</f>
        <v/>
      </c>
      <c r="P7" s="9" t="str">
        <f>IF(B7="", "", 'Water Cooled Chillers'!M15)</f>
        <v/>
      </c>
      <c r="Q7" s="9" t="str">
        <f>IF(B7="", "", 'Water Cooled Chillers'!N15)</f>
        <v/>
      </c>
      <c r="R7" s="9" t="str">
        <f>IF(B7="", "", 'Water Cooled Chillers'!Q15)</f>
        <v/>
      </c>
      <c r="S7" s="9" t="s">
        <v>1010</v>
      </c>
      <c r="T7" s="9" t="str">
        <f>IF(B7="", "", 'Water Cooled Chillers'!K15)</f>
        <v/>
      </c>
      <c r="U7" s="9" t="s">
        <v>1010</v>
      </c>
      <c r="V7" s="9" t="str">
        <f>IF(B7="", "", 'Water Cooled Chillers'!P15)</f>
        <v/>
      </c>
      <c r="W7" s="9" t="s">
        <v>1010</v>
      </c>
      <c r="X7" s="9" t="s">
        <v>1010</v>
      </c>
      <c r="Y7" s="202" t="str">
        <f>IF(OR(B7="", 'Water Cooled Chillers'!H15=""), "", 'Water Cooled Chillers'!H15)</f>
        <v/>
      </c>
      <c r="Z7" s="29" t="s">
        <v>1010</v>
      </c>
      <c r="AA7" s="29" t="s">
        <v>1010</v>
      </c>
      <c r="AB7" s="29" t="str">
        <f>IF(B7="", "", 'Water Cooled Chillers'!AD15)</f>
        <v/>
      </c>
      <c r="AC7" s="29" t="s">
        <v>1010</v>
      </c>
      <c r="AD7" s="29" t="s">
        <v>1010</v>
      </c>
      <c r="AE7" s="29" t="str">
        <f>IF(B7="", "", 'Water Cooled Chillers'!V15)</f>
        <v/>
      </c>
      <c r="AF7" s="29" t="s">
        <v>1010</v>
      </c>
      <c r="AG7" s="29" t="s">
        <v>1010</v>
      </c>
      <c r="AH7" s="29" t="str">
        <f>IF(B7="", "", 'Water Cooled Chillers'!X15)</f>
        <v/>
      </c>
      <c r="AI7" s="29" t="s">
        <v>1010</v>
      </c>
      <c r="AJ7" s="29" t="s">
        <v>1010</v>
      </c>
      <c r="AK7" s="29" t="str">
        <f>IF(B7="", "", 'Water Cooled Chillers'!AB15)</f>
        <v/>
      </c>
      <c r="AL7" s="29" t="s">
        <v>1010</v>
      </c>
      <c r="AM7" s="29" t="s">
        <v>1010</v>
      </c>
      <c r="AN7" s="29" t="str">
        <f>IF(B7="", "", 'Water Cooled Chillers'!S15)</f>
        <v/>
      </c>
      <c r="AO7" s="45" t="s">
        <v>1010</v>
      </c>
      <c r="AP7" s="29" t="s">
        <v>1010</v>
      </c>
      <c r="AQ7" s="29"/>
      <c r="AR7" s="29" t="str">
        <f>IF(B7="", "", 'Water Cooled Chillers'!U15)</f>
        <v/>
      </c>
      <c r="AS7" s="29" t="s">
        <v>1010</v>
      </c>
      <c r="AT7" s="29" t="s">
        <v>1010</v>
      </c>
      <c r="AU7" s="29" t="s">
        <v>1010</v>
      </c>
      <c r="AV7" s="29" t="s">
        <v>1010</v>
      </c>
      <c r="AW7" s="29" t="s">
        <v>1010</v>
      </c>
      <c r="AX7" s="29" t="s">
        <v>1010</v>
      </c>
      <c r="AY7" s="9" t="str">
        <f>IF(B7="", "", 'Water Cooled Chillers'!Z15)</f>
        <v/>
      </c>
      <c r="AZ7" s="9" t="s">
        <v>1010</v>
      </c>
      <c r="BA7" s="9" t="s">
        <v>1010</v>
      </c>
      <c r="BB7" s="10" t="s">
        <v>1010</v>
      </c>
      <c r="BC7" s="10" t="str">
        <f>IF(B7="", "", 'Water Cooled Chillers'!Y15)</f>
        <v/>
      </c>
      <c r="BD7" s="30" t="s">
        <v>1010</v>
      </c>
      <c r="BE7" s="30" t="s">
        <v>1010</v>
      </c>
      <c r="BF7" s="30" t="s">
        <v>1010</v>
      </c>
      <c r="BG7" s="5" t="s">
        <v>1010</v>
      </c>
      <c r="BH7" s="204" t="s">
        <v>1010</v>
      </c>
      <c r="BI7" s="204" t="s">
        <v>1010</v>
      </c>
      <c r="BJ7" s="9" t="s">
        <v>1010</v>
      </c>
      <c r="BK7" s="44" t="s">
        <v>1010</v>
      </c>
      <c r="BL7" s="44" t="s">
        <v>1010</v>
      </c>
      <c r="BM7" s="205" t="s">
        <v>1010</v>
      </c>
      <c r="BN7" s="205" t="s">
        <v>1010</v>
      </c>
      <c r="BO7" s="205" t="s">
        <v>1010</v>
      </c>
      <c r="BP7" s="204" t="str">
        <f>IF(B7="", "", 'Water Cooled Chillers'!$T$31)</f>
        <v/>
      </c>
      <c r="BQ7" s="205" t="str">
        <f>IF(B7="", "", 'Water Cooled Chillers'!AE15)</f>
        <v/>
      </c>
      <c r="BR7" s="205" t="str">
        <f>IF(B7="", "", 'Water Cooled Chillers'!AE15)</f>
        <v/>
      </c>
      <c r="BS7" s="205" t="str">
        <f>IF(B7="", "", 'Water Cooled Chillers'!AF15)</f>
        <v/>
      </c>
      <c r="BT7" s="44" t="s">
        <v>1010</v>
      </c>
      <c r="BU7" s="44" t="str">
        <f>IF(B7="", "", 'Water Cooled Chillers'!AF15)</f>
        <v/>
      </c>
      <c r="BV7" s="10" t="str">
        <f>IF(B7="", "", 'Water Cooled Chillers'!AG15)</f>
        <v/>
      </c>
    </row>
    <row r="8" spans="1:74">
      <c r="A8" s="9" t="str">
        <f>IF(B8="", "", 7)</f>
        <v/>
      </c>
      <c r="B8" s="42" t="str">
        <f>IF(OR('Water Cooled Chillers'!AI16="No", 'Water Cooled Chillers'!D16="", 'Water Cooled Chillers'!Q16=""), "", 'Water Cooled Chillers'!AJ16)</f>
        <v/>
      </c>
      <c r="C8" s="9" t="str">
        <f>IF(B8="", "", 'Project Summary'!$C$7)</f>
        <v/>
      </c>
      <c r="D8" s="9" t="str">
        <f>IF(B8="", "", CONCATENATE('Project Summary'!$C$4, " - ", 'Project Summary'!$C$7))</f>
        <v/>
      </c>
      <c r="E8" s="6" t="str">
        <f t="shared" si="0"/>
        <v/>
      </c>
      <c r="F8" s="9" t="str">
        <f>IF(B8="", "", 'Project Summary'!$C$8)</f>
        <v/>
      </c>
      <c r="G8" s="9" t="str">
        <f>IF(B8="", "", 'Water Cooled Chillers'!AL16)</f>
        <v/>
      </c>
      <c r="H8" s="9" t="str">
        <f t="shared" si="1"/>
        <v/>
      </c>
      <c r="I8" s="10" t="str">
        <f>IF(B8="", "", 'Lookup Tables'!$C$2)</f>
        <v/>
      </c>
      <c r="J8" s="9" t="str">
        <f>IF(B8="", "", 'Water Cooled Chillers'!D16)</f>
        <v/>
      </c>
      <c r="K8" s="9" t="str">
        <f>IF(B8="", "", 'Water Cooled Chillers'!O16)</f>
        <v/>
      </c>
      <c r="L8" s="204" t="str">
        <f>IF(B8="", "", 'Water Cooled Chillers'!AK16)</f>
        <v/>
      </c>
      <c r="M8" s="204" t="str">
        <f>IF(B8="", "", 'Water Cooled Chillers'!L16)</f>
        <v/>
      </c>
      <c r="N8" s="9" t="str">
        <f>IF(B8="", "", 'Water Cooled Chillers'!C16)</f>
        <v/>
      </c>
      <c r="O8" s="9" t="str">
        <f>IF(B8="", "", 'Water Cooled Chillers'!E16)</f>
        <v/>
      </c>
      <c r="P8" s="9" t="str">
        <f>IF(B8="", "", 'Water Cooled Chillers'!M16)</f>
        <v/>
      </c>
      <c r="Q8" s="9" t="str">
        <f>IF(B8="", "", 'Water Cooled Chillers'!N16)</f>
        <v/>
      </c>
      <c r="R8" s="9" t="str">
        <f>IF(B8="", "", 'Water Cooled Chillers'!Q16)</f>
        <v/>
      </c>
      <c r="S8" s="9" t="s">
        <v>1010</v>
      </c>
      <c r="T8" s="9" t="str">
        <f>IF(B8="", "", 'Water Cooled Chillers'!K16)</f>
        <v/>
      </c>
      <c r="U8" s="9" t="s">
        <v>1010</v>
      </c>
      <c r="V8" s="9" t="str">
        <f>IF(B8="", "", 'Water Cooled Chillers'!P16)</f>
        <v/>
      </c>
      <c r="W8" s="9" t="s">
        <v>1010</v>
      </c>
      <c r="X8" s="9" t="s">
        <v>1010</v>
      </c>
      <c r="Y8" s="202" t="str">
        <f>IF(OR(B8="", 'Water Cooled Chillers'!H16=""), "", 'Water Cooled Chillers'!H16)</f>
        <v/>
      </c>
      <c r="Z8" s="29" t="s">
        <v>1010</v>
      </c>
      <c r="AA8" s="29" t="s">
        <v>1010</v>
      </c>
      <c r="AB8" s="29" t="str">
        <f>IF(B8="", "", 'Water Cooled Chillers'!AD16)</f>
        <v/>
      </c>
      <c r="AC8" s="29" t="s">
        <v>1010</v>
      </c>
      <c r="AD8" s="29" t="s">
        <v>1010</v>
      </c>
      <c r="AE8" s="29" t="str">
        <f>IF(B8="", "", 'Water Cooled Chillers'!V16)</f>
        <v/>
      </c>
      <c r="AF8" s="29" t="s">
        <v>1010</v>
      </c>
      <c r="AG8" s="29" t="s">
        <v>1010</v>
      </c>
      <c r="AH8" s="29" t="str">
        <f>IF(B8="", "", 'Water Cooled Chillers'!X16)</f>
        <v/>
      </c>
      <c r="AI8" s="29" t="s">
        <v>1010</v>
      </c>
      <c r="AJ8" s="29" t="s">
        <v>1010</v>
      </c>
      <c r="AK8" s="29" t="str">
        <f>IF(B8="", "", 'Water Cooled Chillers'!AB16)</f>
        <v/>
      </c>
      <c r="AL8" s="29" t="s">
        <v>1010</v>
      </c>
      <c r="AM8" s="29" t="s">
        <v>1010</v>
      </c>
      <c r="AN8" s="29" t="str">
        <f>IF(B8="", "", 'Water Cooled Chillers'!S16)</f>
        <v/>
      </c>
      <c r="AO8" s="45" t="s">
        <v>1010</v>
      </c>
      <c r="AP8" s="29" t="s">
        <v>1010</v>
      </c>
      <c r="AQ8" s="29"/>
      <c r="AR8" s="29" t="str">
        <f>IF(B8="", "", 'Water Cooled Chillers'!U16)</f>
        <v/>
      </c>
      <c r="AS8" s="29" t="s">
        <v>1010</v>
      </c>
      <c r="AT8" s="29" t="s">
        <v>1010</v>
      </c>
      <c r="AU8" s="29" t="s">
        <v>1010</v>
      </c>
      <c r="AV8" s="29" t="s">
        <v>1010</v>
      </c>
      <c r="AW8" s="29" t="s">
        <v>1010</v>
      </c>
      <c r="AX8" s="29" t="s">
        <v>1010</v>
      </c>
      <c r="AY8" s="9" t="str">
        <f>IF(B8="", "", 'Water Cooled Chillers'!Z16)</f>
        <v/>
      </c>
      <c r="AZ8" s="9" t="s">
        <v>1010</v>
      </c>
      <c r="BA8" s="9" t="s">
        <v>1010</v>
      </c>
      <c r="BB8" s="10" t="s">
        <v>1010</v>
      </c>
      <c r="BC8" s="10" t="str">
        <f>IF(B8="", "", 'Water Cooled Chillers'!Y16)</f>
        <v/>
      </c>
      <c r="BD8" s="30" t="s">
        <v>1010</v>
      </c>
      <c r="BE8" s="30" t="s">
        <v>1010</v>
      </c>
      <c r="BF8" s="30" t="s">
        <v>1010</v>
      </c>
      <c r="BG8" s="5" t="s">
        <v>1010</v>
      </c>
      <c r="BH8" s="204" t="s">
        <v>1010</v>
      </c>
      <c r="BI8" s="204" t="s">
        <v>1010</v>
      </c>
      <c r="BJ8" s="9" t="s">
        <v>1010</v>
      </c>
      <c r="BK8" s="44" t="s">
        <v>1010</v>
      </c>
      <c r="BL8" s="44" t="s">
        <v>1010</v>
      </c>
      <c r="BM8" s="205" t="s">
        <v>1010</v>
      </c>
      <c r="BN8" s="205" t="s">
        <v>1010</v>
      </c>
      <c r="BO8" s="205" t="s">
        <v>1010</v>
      </c>
      <c r="BP8" s="204" t="str">
        <f>IF(B8="", "", 'Water Cooled Chillers'!$T$31)</f>
        <v/>
      </c>
      <c r="BQ8" s="205" t="str">
        <f>IF(B8="", "", 'Water Cooled Chillers'!AE16)</f>
        <v/>
      </c>
      <c r="BR8" s="205" t="str">
        <f>IF(B8="", "", 'Water Cooled Chillers'!AE16)</f>
        <v/>
      </c>
      <c r="BS8" s="205" t="str">
        <f>IF(B8="", "", 'Water Cooled Chillers'!AF16)</f>
        <v/>
      </c>
      <c r="BT8" s="44" t="s">
        <v>1010</v>
      </c>
      <c r="BU8" s="44" t="str">
        <f>IF(B8="", "", 'Water Cooled Chillers'!AF16)</f>
        <v/>
      </c>
      <c r="BV8" s="10" t="str">
        <f>IF(B8="", "", 'Water Cooled Chillers'!AG16)</f>
        <v/>
      </c>
    </row>
    <row r="9" spans="1:74">
      <c r="A9" s="9" t="str">
        <f>IF(B9="", "", 8)</f>
        <v/>
      </c>
      <c r="B9" s="42" t="str">
        <f>IF(OR('Water Cooled Chillers'!AI17="No", 'Water Cooled Chillers'!D17="", 'Water Cooled Chillers'!Q17=""), "", 'Water Cooled Chillers'!AJ17)</f>
        <v/>
      </c>
      <c r="C9" s="9" t="str">
        <f>IF(B9="", "", 'Project Summary'!$C$7)</f>
        <v/>
      </c>
      <c r="D9" s="9" t="str">
        <f>IF(B9="", "", CONCATENATE('Project Summary'!$C$4, " - ", 'Project Summary'!$C$7))</f>
        <v/>
      </c>
      <c r="E9" s="6" t="str">
        <f t="shared" si="0"/>
        <v/>
      </c>
      <c r="F9" s="9" t="str">
        <f>IF(B9="", "", 'Project Summary'!$C$8)</f>
        <v/>
      </c>
      <c r="G9" s="9" t="str">
        <f>IF(B9="", "", 'Water Cooled Chillers'!AL17)</f>
        <v/>
      </c>
      <c r="H9" s="9" t="str">
        <f t="shared" si="1"/>
        <v/>
      </c>
      <c r="I9" s="10" t="str">
        <f>IF(B9="", "", 'Lookup Tables'!$C$2)</f>
        <v/>
      </c>
      <c r="J9" s="9" t="str">
        <f>IF(B9="", "", 'Water Cooled Chillers'!D17)</f>
        <v/>
      </c>
      <c r="K9" s="9" t="str">
        <f>IF(B9="", "", 'Water Cooled Chillers'!O17)</f>
        <v/>
      </c>
      <c r="L9" s="204" t="str">
        <f>IF(B9="", "", 'Water Cooled Chillers'!AK17)</f>
        <v/>
      </c>
      <c r="M9" s="204" t="str">
        <f>IF(B9="", "", 'Water Cooled Chillers'!L17)</f>
        <v/>
      </c>
      <c r="N9" s="9" t="str">
        <f>IF(B9="", "", 'Water Cooled Chillers'!C17)</f>
        <v/>
      </c>
      <c r="O9" s="9" t="str">
        <f>IF(B9="", "", 'Water Cooled Chillers'!E17)</f>
        <v/>
      </c>
      <c r="P9" s="9" t="str">
        <f>IF(B9="", "", 'Water Cooled Chillers'!M17)</f>
        <v/>
      </c>
      <c r="Q9" s="9" t="str">
        <f>IF(B9="", "", 'Water Cooled Chillers'!N17)</f>
        <v/>
      </c>
      <c r="R9" s="9" t="str">
        <f>IF(B9="", "", 'Water Cooled Chillers'!Q17)</f>
        <v/>
      </c>
      <c r="S9" s="9" t="s">
        <v>1010</v>
      </c>
      <c r="T9" s="9" t="str">
        <f>IF(B9="", "", 'Water Cooled Chillers'!K17)</f>
        <v/>
      </c>
      <c r="U9" s="9" t="s">
        <v>1010</v>
      </c>
      <c r="V9" s="9" t="str">
        <f>IF(B9="", "", 'Water Cooled Chillers'!P17)</f>
        <v/>
      </c>
      <c r="W9" s="9" t="s">
        <v>1010</v>
      </c>
      <c r="X9" s="9" t="s">
        <v>1010</v>
      </c>
      <c r="Y9" s="202" t="str">
        <f>IF(OR(B9="", 'Water Cooled Chillers'!H17=""), "", 'Water Cooled Chillers'!H17)</f>
        <v/>
      </c>
      <c r="Z9" s="29" t="s">
        <v>1010</v>
      </c>
      <c r="AA9" s="29" t="s">
        <v>1010</v>
      </c>
      <c r="AB9" s="29" t="str">
        <f>IF(B9="", "", 'Water Cooled Chillers'!AD17)</f>
        <v/>
      </c>
      <c r="AC9" s="29" t="s">
        <v>1010</v>
      </c>
      <c r="AD9" s="29" t="s">
        <v>1010</v>
      </c>
      <c r="AE9" s="29" t="str">
        <f>IF(B9="", "", 'Water Cooled Chillers'!V17)</f>
        <v/>
      </c>
      <c r="AF9" s="29" t="s">
        <v>1010</v>
      </c>
      <c r="AG9" s="29" t="s">
        <v>1010</v>
      </c>
      <c r="AH9" s="29" t="str">
        <f>IF(B9="", "", 'Water Cooled Chillers'!X17)</f>
        <v/>
      </c>
      <c r="AI9" s="29" t="s">
        <v>1010</v>
      </c>
      <c r="AJ9" s="29" t="s">
        <v>1010</v>
      </c>
      <c r="AK9" s="29" t="str">
        <f>IF(B9="", "", 'Water Cooled Chillers'!AB17)</f>
        <v/>
      </c>
      <c r="AL9" s="29" t="s">
        <v>1010</v>
      </c>
      <c r="AM9" s="29" t="s">
        <v>1010</v>
      </c>
      <c r="AN9" s="29" t="str">
        <f>IF(B9="", "", 'Water Cooled Chillers'!S17)</f>
        <v/>
      </c>
      <c r="AO9" s="45" t="s">
        <v>1010</v>
      </c>
      <c r="AP9" s="29" t="s">
        <v>1010</v>
      </c>
      <c r="AQ9" s="29"/>
      <c r="AR9" s="29" t="str">
        <f>IF(B9="", "", 'Water Cooled Chillers'!U17)</f>
        <v/>
      </c>
      <c r="AS9" s="29" t="s">
        <v>1010</v>
      </c>
      <c r="AT9" s="29" t="s">
        <v>1010</v>
      </c>
      <c r="AU9" s="29" t="s">
        <v>1010</v>
      </c>
      <c r="AV9" s="29" t="s">
        <v>1010</v>
      </c>
      <c r="AW9" s="29" t="s">
        <v>1010</v>
      </c>
      <c r="AX9" s="29" t="s">
        <v>1010</v>
      </c>
      <c r="AY9" s="9" t="str">
        <f>IF(B9="", "", 'Water Cooled Chillers'!Z17)</f>
        <v/>
      </c>
      <c r="AZ9" s="9" t="s">
        <v>1010</v>
      </c>
      <c r="BA9" s="9" t="s">
        <v>1010</v>
      </c>
      <c r="BB9" s="10" t="s">
        <v>1010</v>
      </c>
      <c r="BC9" s="10" t="str">
        <f>IF(B9="", "", 'Water Cooled Chillers'!Y17)</f>
        <v/>
      </c>
      <c r="BD9" s="30" t="s">
        <v>1010</v>
      </c>
      <c r="BE9" s="30" t="s">
        <v>1010</v>
      </c>
      <c r="BF9" s="30" t="s">
        <v>1010</v>
      </c>
      <c r="BG9" s="5" t="s">
        <v>1010</v>
      </c>
      <c r="BH9" s="204" t="s">
        <v>1010</v>
      </c>
      <c r="BI9" s="204" t="s">
        <v>1010</v>
      </c>
      <c r="BJ9" s="9" t="s">
        <v>1010</v>
      </c>
      <c r="BK9" s="44" t="s">
        <v>1010</v>
      </c>
      <c r="BL9" s="44" t="s">
        <v>1010</v>
      </c>
      <c r="BM9" s="205" t="s">
        <v>1010</v>
      </c>
      <c r="BN9" s="205" t="s">
        <v>1010</v>
      </c>
      <c r="BO9" s="205" t="s">
        <v>1010</v>
      </c>
      <c r="BP9" s="204" t="str">
        <f>IF(B9="", "", 'Water Cooled Chillers'!$T$31)</f>
        <v/>
      </c>
      <c r="BQ9" s="205" t="str">
        <f>IF(B9="", "", 'Water Cooled Chillers'!AE17)</f>
        <v/>
      </c>
      <c r="BR9" s="205" t="str">
        <f>IF(B9="", "", 'Water Cooled Chillers'!AE17)</f>
        <v/>
      </c>
      <c r="BS9" s="205" t="str">
        <f>IF(B9="", "", 'Water Cooled Chillers'!AF17)</f>
        <v/>
      </c>
      <c r="BT9" s="44" t="s">
        <v>1010</v>
      </c>
      <c r="BU9" s="44" t="str">
        <f>IF(B9="", "", 'Water Cooled Chillers'!AF17)</f>
        <v/>
      </c>
      <c r="BV9" s="10" t="str">
        <f>IF(B9="", "", 'Water Cooled Chillers'!AG17)</f>
        <v/>
      </c>
    </row>
    <row r="10" spans="1:74">
      <c r="A10" s="9" t="str">
        <f>IF(B10="", "", 9)</f>
        <v/>
      </c>
      <c r="B10" s="42" t="str">
        <f>IF(OR('Split and Packaged Units'!D11="", 'Split and Packaged Units'!U11="", 'Split and Packaged Units'!AS11="No"), "", 'Split and Packaged Units'!AT11)</f>
        <v/>
      </c>
      <c r="C10" s="9" t="str">
        <f>IF(B10="", "", 'Project Summary'!$C$7)</f>
        <v/>
      </c>
      <c r="D10" s="9" t="str">
        <f>IF(B10="", "", CONCATENATE('Project Summary'!$C$4, " - ", 'Project Summary'!$C$7))</f>
        <v/>
      </c>
      <c r="E10" s="6" t="str">
        <f t="shared" si="0"/>
        <v/>
      </c>
      <c r="F10" s="9" t="str">
        <f>IF(B10="", "", 'Project Summary'!$C$8)</f>
        <v/>
      </c>
      <c r="G10" s="9" t="str">
        <f>IF(B10="", "", 'Split and Packaged Units'!AV11)</f>
        <v/>
      </c>
      <c r="H10" s="9" t="str">
        <f t="shared" si="1"/>
        <v/>
      </c>
      <c r="I10" s="10" t="str">
        <f>IF(B10="", "", 'Lookup Tables'!$C$2)</f>
        <v/>
      </c>
      <c r="J10" s="9" t="str">
        <f>IF(B10="", "", 'Split and Packaged Units'!D11)</f>
        <v/>
      </c>
      <c r="K10" s="9" t="str">
        <f>IF(B10="", "", 'Split and Packaged Units'!R11)</f>
        <v/>
      </c>
      <c r="L10" s="204" t="str">
        <f>IF(B10="", "", 'Split and Packaged Units'!AU11)</f>
        <v/>
      </c>
      <c r="M10" s="204" t="str">
        <f>IF(B10="", "", 'Split and Packaged Units'!M11)</f>
        <v/>
      </c>
      <c r="N10" s="9" t="str">
        <f>IF(B10="", "", 'Split and Packaged Units'!C11)</f>
        <v/>
      </c>
      <c r="O10" s="9" t="str">
        <f>IF(B10="", "", 'Water Cooled Chillers'!E10)</f>
        <v/>
      </c>
      <c r="P10" s="9" t="str">
        <f>IF(B10="", "", 'Split and Packaged Units'!O11)</f>
        <v/>
      </c>
      <c r="Q10" s="9" t="str">
        <f>IF(B10="", "", 'Split and Packaged Units'!P11)</f>
        <v/>
      </c>
      <c r="R10" s="9" t="str">
        <f>IF(B10="", "", 'Split and Packaged Units'!U11)</f>
        <v/>
      </c>
      <c r="S10" s="9" t="s">
        <v>1010</v>
      </c>
      <c r="T10" s="9" t="str">
        <f>IF(B10="", "", 'Split and Packaged Units'!L11)</f>
        <v/>
      </c>
      <c r="U10" s="9" t="str">
        <f>IF(B10="", "", 'Split and Packaged Units'!N11)</f>
        <v/>
      </c>
      <c r="V10" s="9" t="s">
        <v>1010</v>
      </c>
      <c r="W10" s="9" t="s">
        <v>1010</v>
      </c>
      <c r="X10" s="9" t="s">
        <v>1010</v>
      </c>
      <c r="Y10" s="202" t="str">
        <f>IF(OR(B10="", 'Split and Packaged Units'!H11=""), "", 'Split and Packaged Units'!H11)</f>
        <v/>
      </c>
      <c r="Z10" s="29" t="str">
        <f>IF(B10="", "", 'Split and Packaged Units'!AG11)</f>
        <v/>
      </c>
      <c r="AA10" s="29" t="str">
        <f>IF(B10="", "", 'Split and Packaged Units'!AH11)</f>
        <v/>
      </c>
      <c r="AB10" s="29" t="s">
        <v>1010</v>
      </c>
      <c r="AC10" s="29" t="str">
        <f>IF(OR(B10="", 'Split and Packaged Units'!AJ11="-"), "", 'Split and Packaged Units'!AJ11)</f>
        <v/>
      </c>
      <c r="AD10" s="29" t="str">
        <f>IF(OR(B10="", 'Split and Packaged Units'!AK11="-"), "", 'Split and Packaged Units'!AK11)</f>
        <v/>
      </c>
      <c r="AE10" s="29" t="s">
        <v>1010</v>
      </c>
      <c r="AF10" s="29" t="str">
        <f>IF(B10="", "", 'Split and Packaged Units'!Y11)</f>
        <v/>
      </c>
      <c r="AG10" s="29" t="str">
        <f>IF(B10="", "", 'Split and Packaged Units'!Y11)</f>
        <v/>
      </c>
      <c r="AH10" s="29" t="s">
        <v>1010</v>
      </c>
      <c r="AI10" s="29" t="str">
        <f>IF(B10="", "", 'Split and Packaged Units'!AG11)</f>
        <v/>
      </c>
      <c r="AJ10" s="29" t="str">
        <f>IF(B10="", "", 'Split and Packaged Units'!AI11)</f>
        <v/>
      </c>
      <c r="AK10" s="29" t="s">
        <v>1010</v>
      </c>
      <c r="AL10" s="29" t="str">
        <f>IF(OR(B10="", 'Split and Packaged Units'!AJ11="-"), "", 'Split and Packaged Units'!AJ11)</f>
        <v/>
      </c>
      <c r="AM10" s="29" t="str">
        <f>IF(OR(B10="", 'Split and Packaged Units'!AL11="-"), "", 'Split and Packaged Units'!AL11)</f>
        <v/>
      </c>
      <c r="AN10" s="29" t="s">
        <v>1010</v>
      </c>
      <c r="AO10" s="45" t="str">
        <f>IF(B10="", "", 'Split and Packaged Units'!Y11)</f>
        <v/>
      </c>
      <c r="AP10" s="45" t="str">
        <f>IF(B10="", "", 'Split and Packaged Units'!AB11)</f>
        <v/>
      </c>
      <c r="AQ10" s="45" t="str">
        <f>IF(B10="", "", 'Split and Packaged Units'!AB11)</f>
        <v/>
      </c>
      <c r="AR10" s="29" t="s">
        <v>1010</v>
      </c>
      <c r="AS10" s="29" t="s">
        <v>1010</v>
      </c>
      <c r="AT10" s="29" t="s">
        <v>1010</v>
      </c>
      <c r="AU10" s="29" t="s">
        <v>1010</v>
      </c>
      <c r="AV10" s="29" t="s">
        <v>1010</v>
      </c>
      <c r="AW10" s="29" t="s">
        <v>1010</v>
      </c>
      <c r="AX10" s="29" t="s">
        <v>1010</v>
      </c>
      <c r="AY10" s="9" t="str">
        <f>IF(B10="", "", 'Split and Packaged Units'!AD11)</f>
        <v/>
      </c>
      <c r="AZ10" s="9" t="s">
        <v>1010</v>
      </c>
      <c r="BA10" s="9" t="s">
        <v>1010</v>
      </c>
      <c r="BB10" s="10" t="s">
        <v>1010</v>
      </c>
      <c r="BC10" s="10" t="str">
        <f>IF(B10="", "", 'Split and Packaged Units'!AE11)</f>
        <v/>
      </c>
      <c r="BD10" s="30" t="s">
        <v>1010</v>
      </c>
      <c r="BE10" s="30" t="s">
        <v>1010</v>
      </c>
      <c r="BF10" s="30" t="s">
        <v>1010</v>
      </c>
      <c r="BG10" s="5" t="s">
        <v>1010</v>
      </c>
      <c r="BH10" s="204" t="s">
        <v>1010</v>
      </c>
      <c r="BI10" s="204" t="s">
        <v>1010</v>
      </c>
      <c r="BJ10" s="9" t="s">
        <v>1010</v>
      </c>
      <c r="BK10" s="44" t="s">
        <v>1010</v>
      </c>
      <c r="BL10" s="44" t="s">
        <v>1010</v>
      </c>
      <c r="BM10" s="205" t="s">
        <v>1010</v>
      </c>
      <c r="BN10" s="205" t="s">
        <v>1010</v>
      </c>
      <c r="BO10" s="205" t="s">
        <v>1010</v>
      </c>
      <c r="BP10" s="204" t="str">
        <f>IF(B10="", "", 'Split and Packaged Units'!$F$107)</f>
        <v/>
      </c>
      <c r="BQ10" s="205" t="str">
        <f>IF(B10="", "", 'Split and Packaged Units'!AN11)</f>
        <v/>
      </c>
      <c r="BR10" s="205" t="str">
        <f>IF(B10="", "", 'Split and Packaged Units'!AN11)</f>
        <v/>
      </c>
      <c r="BS10" s="205" t="str">
        <f>IF(B10="", "", 'Split and Packaged Units'!AO11)</f>
        <v/>
      </c>
      <c r="BT10" s="44" t="s">
        <v>1010</v>
      </c>
      <c r="BU10" s="44" t="str">
        <f>IF(B10="", "", 'Split and Packaged Units'!AO11)</f>
        <v/>
      </c>
      <c r="BV10" s="10" t="str">
        <f>IF(B10="", "", 'Split and Packaged Units'!AP11)</f>
        <v/>
      </c>
    </row>
    <row r="11" spans="1:74">
      <c r="A11" s="9" t="str">
        <f>IF(B11="", "", 10)</f>
        <v/>
      </c>
      <c r="B11" s="42" t="str">
        <f>IF(OR('Split and Packaged Units'!D12="", 'Split and Packaged Units'!U12="", 'Split and Packaged Units'!AS12="No"), "", 'Split and Packaged Units'!AT12)</f>
        <v/>
      </c>
      <c r="C11" s="9" t="str">
        <f>IF(B11="", "", 'Project Summary'!$C$7)</f>
        <v/>
      </c>
      <c r="D11" s="9" t="str">
        <f>IF(B11="", "", CONCATENATE('Project Summary'!$C$4, " - ", 'Project Summary'!$C$7))</f>
        <v/>
      </c>
      <c r="E11" s="6" t="str">
        <f t="shared" si="0"/>
        <v/>
      </c>
      <c r="F11" s="9" t="str">
        <f>IF(B11="", "", 'Project Summary'!$C$8)</f>
        <v/>
      </c>
      <c r="G11" s="9" t="str">
        <f>IF(B11="", "", 'Split and Packaged Units'!AV12)</f>
        <v/>
      </c>
      <c r="H11" s="9" t="str">
        <f t="shared" si="1"/>
        <v/>
      </c>
      <c r="I11" s="10" t="str">
        <f>IF(B11="", "", 'Lookup Tables'!$C$2)</f>
        <v/>
      </c>
      <c r="J11" s="9" t="str">
        <f>IF(B11="", "", 'Split and Packaged Units'!D12)</f>
        <v/>
      </c>
      <c r="K11" s="9" t="str">
        <f>IF(B11="", "", 'Split and Packaged Units'!R12)</f>
        <v/>
      </c>
      <c r="L11" s="204" t="str">
        <f>IF(B11="", "", 'Split and Packaged Units'!AU12)</f>
        <v/>
      </c>
      <c r="M11" s="204" t="str">
        <f>IF(B11="", "", 'Split and Packaged Units'!M12)</f>
        <v/>
      </c>
      <c r="N11" s="9" t="str">
        <f>IF(B11="", "", 'Split and Packaged Units'!C12)</f>
        <v/>
      </c>
      <c r="O11" s="9" t="str">
        <f>IF(B11="", "", 'Water Cooled Chillers'!E11)</f>
        <v/>
      </c>
      <c r="P11" s="9" t="str">
        <f>IF(B11="", "", 'Split and Packaged Units'!O12)</f>
        <v/>
      </c>
      <c r="Q11" s="9" t="str">
        <f>IF(B11="", "", 'Split and Packaged Units'!P12)</f>
        <v/>
      </c>
      <c r="R11" s="9" t="str">
        <f>IF(B11="", "", 'Split and Packaged Units'!U12)</f>
        <v/>
      </c>
      <c r="S11" s="9" t="s">
        <v>1010</v>
      </c>
      <c r="T11" s="9" t="str">
        <f>IF(B11="", "", 'Split and Packaged Units'!L12)</f>
        <v/>
      </c>
      <c r="U11" s="9" t="str">
        <f>IF(B11="", "", 'Split and Packaged Units'!N12)</f>
        <v/>
      </c>
      <c r="V11" s="9" t="s">
        <v>1010</v>
      </c>
      <c r="W11" s="9" t="s">
        <v>1010</v>
      </c>
      <c r="X11" s="9" t="s">
        <v>1010</v>
      </c>
      <c r="Y11" s="202" t="str">
        <f>IF(OR(B11="", 'Split and Packaged Units'!H12=""), "", 'Split and Packaged Units'!H12)</f>
        <v/>
      </c>
      <c r="Z11" s="29" t="str">
        <f>IF(B11="", "", 'Split and Packaged Units'!AG12)</f>
        <v/>
      </c>
      <c r="AA11" s="29" t="str">
        <f>IF(B11="", "", 'Split and Packaged Units'!AH12)</f>
        <v/>
      </c>
      <c r="AB11" s="29" t="s">
        <v>1010</v>
      </c>
      <c r="AC11" s="29" t="str">
        <f>IF(OR(B11="", 'Split and Packaged Units'!AJ12="-"), "", 'Split and Packaged Units'!AJ12)</f>
        <v/>
      </c>
      <c r="AD11" s="29" t="str">
        <f>IF(OR(B11="", 'Split and Packaged Units'!AK12="-"), "", 'Split and Packaged Units'!AK12)</f>
        <v/>
      </c>
      <c r="AE11" s="29" t="s">
        <v>1010</v>
      </c>
      <c r="AF11" s="29" t="str">
        <f>IF(B11="", "", 'Split and Packaged Units'!Y12)</f>
        <v/>
      </c>
      <c r="AG11" s="29" t="str">
        <f>IF(B11="", "", 'Split and Packaged Units'!Y12)</f>
        <v/>
      </c>
      <c r="AH11" s="29" t="s">
        <v>1010</v>
      </c>
      <c r="AI11" s="29" t="str">
        <f>IF(B11="", "", 'Split and Packaged Units'!AG12)</f>
        <v/>
      </c>
      <c r="AJ11" s="29" t="str">
        <f>IF(B11="", "", 'Split and Packaged Units'!AI12)</f>
        <v/>
      </c>
      <c r="AK11" s="29" t="s">
        <v>1010</v>
      </c>
      <c r="AL11" s="29" t="str">
        <f>IF(OR(B11="", 'Split and Packaged Units'!AJ12="-"), "", 'Split and Packaged Units'!AJ12)</f>
        <v/>
      </c>
      <c r="AM11" s="29" t="str">
        <f>IF(OR(B11="", 'Split and Packaged Units'!AL12="-"), "", 'Split and Packaged Units'!AL12)</f>
        <v/>
      </c>
      <c r="AN11" s="29" t="s">
        <v>1010</v>
      </c>
      <c r="AO11" s="45" t="str">
        <f>IF(B11="", "", 'Split and Packaged Units'!Y12)</f>
        <v/>
      </c>
      <c r="AP11" s="45" t="str">
        <f>IF(B11="", "", 'Split and Packaged Units'!AB12)</f>
        <v/>
      </c>
      <c r="AQ11" s="45" t="str">
        <f>IF(B11="", "", 'Split and Packaged Units'!AB12)</f>
        <v/>
      </c>
      <c r="AR11" s="29" t="s">
        <v>1010</v>
      </c>
      <c r="AS11" s="29" t="s">
        <v>1010</v>
      </c>
      <c r="AT11" s="29" t="s">
        <v>1010</v>
      </c>
      <c r="AU11" s="29" t="s">
        <v>1010</v>
      </c>
      <c r="AV11" s="29" t="s">
        <v>1010</v>
      </c>
      <c r="AW11" s="29" t="s">
        <v>1010</v>
      </c>
      <c r="AX11" s="29" t="s">
        <v>1010</v>
      </c>
      <c r="AY11" s="9" t="str">
        <f>IF(B11="", "", 'Split and Packaged Units'!AD12)</f>
        <v/>
      </c>
      <c r="AZ11" s="9" t="s">
        <v>1010</v>
      </c>
      <c r="BA11" s="9" t="s">
        <v>1010</v>
      </c>
      <c r="BB11" s="10" t="s">
        <v>1010</v>
      </c>
      <c r="BC11" s="10" t="str">
        <f>IF(B11="", "", 'Split and Packaged Units'!AE12)</f>
        <v/>
      </c>
      <c r="BD11" s="30" t="s">
        <v>1010</v>
      </c>
      <c r="BE11" s="30" t="s">
        <v>1010</v>
      </c>
      <c r="BF11" s="30" t="s">
        <v>1010</v>
      </c>
      <c r="BG11" s="5" t="s">
        <v>1010</v>
      </c>
      <c r="BH11" s="204" t="s">
        <v>1010</v>
      </c>
      <c r="BI11" s="204" t="s">
        <v>1010</v>
      </c>
      <c r="BJ11" s="9" t="s">
        <v>1010</v>
      </c>
      <c r="BK11" s="44" t="s">
        <v>1010</v>
      </c>
      <c r="BL11" s="44" t="s">
        <v>1010</v>
      </c>
      <c r="BM11" s="205" t="s">
        <v>1010</v>
      </c>
      <c r="BN11" s="205" t="s">
        <v>1010</v>
      </c>
      <c r="BO11" s="205" t="s">
        <v>1010</v>
      </c>
      <c r="BP11" s="204" t="str">
        <f>IF(B11="", "", 'Split and Packaged Units'!$F$107)</f>
        <v/>
      </c>
      <c r="BQ11" s="205" t="str">
        <f>IF(B11="", "", 'Split and Packaged Units'!AN12)</f>
        <v/>
      </c>
      <c r="BR11" s="205" t="str">
        <f>IF(B11="", "", 'Split and Packaged Units'!AN12)</f>
        <v/>
      </c>
      <c r="BS11" s="205" t="str">
        <f>IF(B11="", "", 'Split and Packaged Units'!AO12)</f>
        <v/>
      </c>
      <c r="BT11" s="44" t="s">
        <v>1010</v>
      </c>
      <c r="BU11" s="44" t="str">
        <f>IF(B11="", "", 'Split and Packaged Units'!AO12)</f>
        <v/>
      </c>
      <c r="BV11" s="10" t="str">
        <f>IF(B11="", "", 'Split and Packaged Units'!AP12)</f>
        <v/>
      </c>
    </row>
    <row r="12" spans="1:74">
      <c r="A12" s="9" t="str">
        <f>IF(B12="", "", 11)</f>
        <v/>
      </c>
      <c r="B12" s="42" t="str">
        <f>IF(OR('Split and Packaged Units'!D13="", 'Split and Packaged Units'!U13="", 'Split and Packaged Units'!AS13="No"), "", 'Split and Packaged Units'!AT13)</f>
        <v/>
      </c>
      <c r="C12" s="9" t="str">
        <f>IF(B12="", "", 'Project Summary'!$C$7)</f>
        <v/>
      </c>
      <c r="D12" s="9" t="str">
        <f>IF(B12="", "", CONCATENATE('Project Summary'!$C$4, " - ", 'Project Summary'!$C$7))</f>
        <v/>
      </c>
      <c r="E12" s="6" t="str">
        <f t="shared" si="0"/>
        <v/>
      </c>
      <c r="F12" s="9" t="str">
        <f>IF(B12="", "", 'Project Summary'!$C$8)</f>
        <v/>
      </c>
      <c r="G12" s="9" t="str">
        <f>IF(B12="", "", 'Split and Packaged Units'!AV13)</f>
        <v/>
      </c>
      <c r="H12" s="9" t="str">
        <f t="shared" si="1"/>
        <v/>
      </c>
      <c r="I12" s="10" t="str">
        <f>IF(B12="", "", 'Lookup Tables'!$C$2)</f>
        <v/>
      </c>
      <c r="J12" s="9" t="str">
        <f>IF(B12="", "", 'Split and Packaged Units'!D13)</f>
        <v/>
      </c>
      <c r="K12" s="9" t="str">
        <f>IF(B12="", "", 'Split and Packaged Units'!R13)</f>
        <v/>
      </c>
      <c r="L12" s="204" t="str">
        <f>IF(B12="", "", 'Split and Packaged Units'!AU13)</f>
        <v/>
      </c>
      <c r="M12" s="204" t="str">
        <f>IF(B12="", "", 'Split and Packaged Units'!M13)</f>
        <v/>
      </c>
      <c r="N12" s="9" t="str">
        <f>IF(B12="", "", 'Split and Packaged Units'!C13)</f>
        <v/>
      </c>
      <c r="O12" s="9" t="str">
        <f>IF(B12="", "", 'Water Cooled Chillers'!E12)</f>
        <v/>
      </c>
      <c r="P12" s="9" t="str">
        <f>IF(B12="", "", 'Split and Packaged Units'!O13)</f>
        <v/>
      </c>
      <c r="Q12" s="9" t="str">
        <f>IF(B12="", "", 'Split and Packaged Units'!P13)</f>
        <v/>
      </c>
      <c r="R12" s="9" t="str">
        <f>IF(B12="", "", 'Split and Packaged Units'!U13)</f>
        <v/>
      </c>
      <c r="S12" s="9" t="s">
        <v>1010</v>
      </c>
      <c r="T12" s="9" t="str">
        <f>IF(B12="", "", 'Split and Packaged Units'!L13)</f>
        <v/>
      </c>
      <c r="U12" s="9" t="str">
        <f>IF(B12="", "", 'Split and Packaged Units'!N13)</f>
        <v/>
      </c>
      <c r="V12" s="9" t="s">
        <v>1010</v>
      </c>
      <c r="W12" s="9" t="s">
        <v>1010</v>
      </c>
      <c r="X12" s="9" t="s">
        <v>1010</v>
      </c>
      <c r="Y12" s="202" t="str">
        <f>IF(OR(B12="", 'Split and Packaged Units'!H13=""), "", 'Split and Packaged Units'!H13)</f>
        <v/>
      </c>
      <c r="Z12" s="29" t="str">
        <f>IF(B12="", "", 'Split and Packaged Units'!AG13)</f>
        <v/>
      </c>
      <c r="AA12" s="29" t="str">
        <f>IF(B12="", "", 'Split and Packaged Units'!AH13)</f>
        <v/>
      </c>
      <c r="AB12" s="29" t="s">
        <v>1010</v>
      </c>
      <c r="AC12" s="29" t="str">
        <f>IF(OR(B12="", 'Split and Packaged Units'!AJ13="-"), "", 'Split and Packaged Units'!AJ13)</f>
        <v/>
      </c>
      <c r="AD12" s="29" t="str">
        <f>IF(OR(B12="", 'Split and Packaged Units'!AK13="-"), "", 'Split and Packaged Units'!AK13)</f>
        <v/>
      </c>
      <c r="AE12" s="29" t="s">
        <v>1010</v>
      </c>
      <c r="AF12" s="29" t="str">
        <f>IF(B12="", "", 'Split and Packaged Units'!Y13)</f>
        <v/>
      </c>
      <c r="AG12" s="29" t="str">
        <f>IF(B12="", "", 'Split and Packaged Units'!Y13)</f>
        <v/>
      </c>
      <c r="AH12" s="29" t="s">
        <v>1010</v>
      </c>
      <c r="AI12" s="29" t="str">
        <f>IF(B12="", "", 'Split and Packaged Units'!AG13)</f>
        <v/>
      </c>
      <c r="AJ12" s="29" t="str">
        <f>IF(B12="", "", 'Split and Packaged Units'!AI13)</f>
        <v/>
      </c>
      <c r="AK12" s="29" t="s">
        <v>1010</v>
      </c>
      <c r="AL12" s="29" t="str">
        <f>IF(OR(B12="", 'Split and Packaged Units'!AJ13="-"), "", 'Split and Packaged Units'!AJ13)</f>
        <v/>
      </c>
      <c r="AM12" s="29" t="str">
        <f>IF(OR(B12="", 'Split and Packaged Units'!AL13="-"), "", 'Split and Packaged Units'!AL13)</f>
        <v/>
      </c>
      <c r="AN12" s="29" t="s">
        <v>1010</v>
      </c>
      <c r="AO12" s="45" t="str">
        <f>IF(B12="", "", 'Split and Packaged Units'!Y13)</f>
        <v/>
      </c>
      <c r="AP12" s="45" t="str">
        <f>IF(B12="", "", 'Split and Packaged Units'!AB13)</f>
        <v/>
      </c>
      <c r="AQ12" s="45" t="str">
        <f>IF(B12="", "", 'Split and Packaged Units'!AB13)</f>
        <v/>
      </c>
      <c r="AR12" s="29" t="s">
        <v>1010</v>
      </c>
      <c r="AS12" s="29" t="s">
        <v>1010</v>
      </c>
      <c r="AT12" s="29" t="s">
        <v>1010</v>
      </c>
      <c r="AU12" s="29" t="s">
        <v>1010</v>
      </c>
      <c r="AV12" s="29" t="s">
        <v>1010</v>
      </c>
      <c r="AW12" s="29" t="s">
        <v>1010</v>
      </c>
      <c r="AX12" s="29" t="s">
        <v>1010</v>
      </c>
      <c r="AY12" s="9" t="str">
        <f>IF(B12="", "", 'Split and Packaged Units'!AD13)</f>
        <v/>
      </c>
      <c r="AZ12" s="9" t="s">
        <v>1010</v>
      </c>
      <c r="BA12" s="9" t="s">
        <v>1010</v>
      </c>
      <c r="BB12" s="10" t="s">
        <v>1010</v>
      </c>
      <c r="BC12" s="10" t="str">
        <f>IF(B12="", "", 'Split and Packaged Units'!AE13)</f>
        <v/>
      </c>
      <c r="BD12" s="30" t="s">
        <v>1010</v>
      </c>
      <c r="BE12" s="30" t="s">
        <v>1010</v>
      </c>
      <c r="BF12" s="30" t="s">
        <v>1010</v>
      </c>
      <c r="BG12" s="5" t="s">
        <v>1010</v>
      </c>
      <c r="BH12" s="204" t="s">
        <v>1010</v>
      </c>
      <c r="BI12" s="204" t="s">
        <v>1010</v>
      </c>
      <c r="BJ12" s="9" t="s">
        <v>1010</v>
      </c>
      <c r="BK12" s="44" t="s">
        <v>1010</v>
      </c>
      <c r="BL12" s="44" t="s">
        <v>1010</v>
      </c>
      <c r="BM12" s="205" t="s">
        <v>1010</v>
      </c>
      <c r="BN12" s="205" t="s">
        <v>1010</v>
      </c>
      <c r="BO12" s="205" t="s">
        <v>1010</v>
      </c>
      <c r="BP12" s="204" t="str">
        <f>IF(B12="", "", 'Split and Packaged Units'!$F$107)</f>
        <v/>
      </c>
      <c r="BQ12" s="205" t="str">
        <f>IF(B12="", "", 'Split and Packaged Units'!AN13)</f>
        <v/>
      </c>
      <c r="BR12" s="205" t="str">
        <f>IF(B12="", "", 'Split and Packaged Units'!AN13)</f>
        <v/>
      </c>
      <c r="BS12" s="205" t="str">
        <f>IF(B12="", "", 'Split and Packaged Units'!AO13)</f>
        <v/>
      </c>
      <c r="BT12" s="44" t="s">
        <v>1010</v>
      </c>
      <c r="BU12" s="44" t="str">
        <f>IF(B12="", "", 'Split and Packaged Units'!AO13)</f>
        <v/>
      </c>
      <c r="BV12" s="10" t="str">
        <f>IF(B12="", "", 'Split and Packaged Units'!AP13)</f>
        <v/>
      </c>
    </row>
    <row r="13" spans="1:74">
      <c r="A13" s="9" t="str">
        <f>IF(B13="", "", 12)</f>
        <v/>
      </c>
      <c r="B13" s="42" t="str">
        <f>IF(OR('Split and Packaged Units'!D14="", 'Split and Packaged Units'!U14="", 'Split and Packaged Units'!AS14="No"), "", 'Split and Packaged Units'!AT14)</f>
        <v/>
      </c>
      <c r="C13" s="9" t="str">
        <f>IF(B13="", "", 'Project Summary'!$C$7)</f>
        <v/>
      </c>
      <c r="D13" s="9" t="str">
        <f>IF(B13="", "", CONCATENATE('Project Summary'!$C$4, " - ", 'Project Summary'!$C$7))</f>
        <v/>
      </c>
      <c r="E13" s="6" t="str">
        <f t="shared" si="0"/>
        <v/>
      </c>
      <c r="F13" s="9" t="str">
        <f>IF(B13="", "", 'Project Summary'!$C$8)</f>
        <v/>
      </c>
      <c r="G13" s="9" t="str">
        <f>IF(B13="", "", 'Split and Packaged Units'!AV14)</f>
        <v/>
      </c>
      <c r="H13" s="9" t="str">
        <f t="shared" si="1"/>
        <v/>
      </c>
      <c r="I13" s="10" t="str">
        <f>IF(B13="", "", 'Lookup Tables'!$C$2)</f>
        <v/>
      </c>
      <c r="J13" s="9" t="str">
        <f>IF(B13="", "", 'Split and Packaged Units'!D14)</f>
        <v/>
      </c>
      <c r="K13" s="9" t="str">
        <f>IF(B13="", "", 'Split and Packaged Units'!R14)</f>
        <v/>
      </c>
      <c r="L13" s="204" t="str">
        <f>IF(B13="", "", 'Split and Packaged Units'!AU14)</f>
        <v/>
      </c>
      <c r="M13" s="204" t="str">
        <f>IF(B13="", "", 'Split and Packaged Units'!M14)</f>
        <v/>
      </c>
      <c r="N13" s="9" t="str">
        <f>IF(B13="", "", 'Split and Packaged Units'!C14)</f>
        <v/>
      </c>
      <c r="O13" s="9" t="str">
        <f>IF(B13="", "", 'Water Cooled Chillers'!E13)</f>
        <v/>
      </c>
      <c r="P13" s="9" t="str">
        <f>IF(B13="", "", 'Split and Packaged Units'!O14)</f>
        <v/>
      </c>
      <c r="Q13" s="9" t="str">
        <f>IF(B13="", "", 'Split and Packaged Units'!P14)</f>
        <v/>
      </c>
      <c r="R13" s="9" t="str">
        <f>IF(B13="", "", 'Split and Packaged Units'!U14)</f>
        <v/>
      </c>
      <c r="S13" s="9" t="s">
        <v>1010</v>
      </c>
      <c r="T13" s="9" t="str">
        <f>IF(B13="", "", 'Split and Packaged Units'!L14)</f>
        <v/>
      </c>
      <c r="U13" s="9" t="str">
        <f>IF(B13="", "", 'Split and Packaged Units'!N14)</f>
        <v/>
      </c>
      <c r="V13" s="9" t="s">
        <v>1010</v>
      </c>
      <c r="W13" s="9" t="s">
        <v>1010</v>
      </c>
      <c r="X13" s="9" t="s">
        <v>1010</v>
      </c>
      <c r="Y13" s="202" t="str">
        <f>IF(OR(B13="", 'Split and Packaged Units'!H14=""), "", 'Split and Packaged Units'!H14)</f>
        <v/>
      </c>
      <c r="Z13" s="29" t="str">
        <f>IF(B13="", "", 'Split and Packaged Units'!AG14)</f>
        <v/>
      </c>
      <c r="AA13" s="29" t="str">
        <f>IF(B13="", "", 'Split and Packaged Units'!AH14)</f>
        <v/>
      </c>
      <c r="AB13" s="29" t="s">
        <v>1010</v>
      </c>
      <c r="AC13" s="29" t="str">
        <f>IF(OR(B13="", 'Split and Packaged Units'!AJ14="-"), "", 'Split and Packaged Units'!AJ14)</f>
        <v/>
      </c>
      <c r="AD13" s="29" t="str">
        <f>IF(OR(B13="", 'Split and Packaged Units'!AK14="-"), "", 'Split and Packaged Units'!AK14)</f>
        <v/>
      </c>
      <c r="AE13" s="29" t="s">
        <v>1010</v>
      </c>
      <c r="AF13" s="29" t="str">
        <f>IF(B13="", "", 'Split and Packaged Units'!Y14)</f>
        <v/>
      </c>
      <c r="AG13" s="29" t="str">
        <f>IF(B13="", "", 'Split and Packaged Units'!Y14)</f>
        <v/>
      </c>
      <c r="AH13" s="29" t="s">
        <v>1010</v>
      </c>
      <c r="AI13" s="29" t="str">
        <f>IF(B13="", "", 'Split and Packaged Units'!AG14)</f>
        <v/>
      </c>
      <c r="AJ13" s="29" t="str">
        <f>IF(B13="", "", 'Split and Packaged Units'!AI14)</f>
        <v/>
      </c>
      <c r="AK13" s="29" t="s">
        <v>1010</v>
      </c>
      <c r="AL13" s="29" t="str">
        <f>IF(OR(B13="", 'Split and Packaged Units'!AJ14="-"), "", 'Split and Packaged Units'!AJ14)</f>
        <v/>
      </c>
      <c r="AM13" s="29" t="str">
        <f>IF(OR(B13="", 'Split and Packaged Units'!AL14="-"), "", 'Split and Packaged Units'!AL14)</f>
        <v/>
      </c>
      <c r="AN13" s="29" t="s">
        <v>1010</v>
      </c>
      <c r="AO13" s="45" t="str">
        <f>IF(B13="", "", 'Split and Packaged Units'!Y14)</f>
        <v/>
      </c>
      <c r="AP13" s="45" t="str">
        <f>IF(B13="", "", 'Split and Packaged Units'!AB14)</f>
        <v/>
      </c>
      <c r="AQ13" s="45" t="str">
        <f>IF(B13="", "", 'Split and Packaged Units'!AB14)</f>
        <v/>
      </c>
      <c r="AR13" s="29" t="s">
        <v>1010</v>
      </c>
      <c r="AS13" s="29" t="s">
        <v>1010</v>
      </c>
      <c r="AT13" s="29" t="s">
        <v>1010</v>
      </c>
      <c r="AU13" s="29" t="s">
        <v>1010</v>
      </c>
      <c r="AV13" s="29" t="s">
        <v>1010</v>
      </c>
      <c r="AW13" s="29" t="s">
        <v>1010</v>
      </c>
      <c r="AX13" s="29" t="s">
        <v>1010</v>
      </c>
      <c r="AY13" s="9" t="str">
        <f>IF(B13="", "", 'Split and Packaged Units'!AD14)</f>
        <v/>
      </c>
      <c r="AZ13" s="9" t="s">
        <v>1010</v>
      </c>
      <c r="BA13" s="9" t="s">
        <v>1010</v>
      </c>
      <c r="BB13" s="10" t="s">
        <v>1010</v>
      </c>
      <c r="BC13" s="10" t="str">
        <f>IF(B13="", "", 'Split and Packaged Units'!AE14)</f>
        <v/>
      </c>
      <c r="BD13" s="30" t="s">
        <v>1010</v>
      </c>
      <c r="BE13" s="30" t="s">
        <v>1010</v>
      </c>
      <c r="BF13" s="30" t="s">
        <v>1010</v>
      </c>
      <c r="BG13" s="5" t="s">
        <v>1010</v>
      </c>
      <c r="BH13" s="204" t="s">
        <v>1010</v>
      </c>
      <c r="BI13" s="204" t="s">
        <v>1010</v>
      </c>
      <c r="BJ13" s="9" t="s">
        <v>1010</v>
      </c>
      <c r="BK13" s="44" t="s">
        <v>1010</v>
      </c>
      <c r="BL13" s="44" t="s">
        <v>1010</v>
      </c>
      <c r="BM13" s="205" t="s">
        <v>1010</v>
      </c>
      <c r="BN13" s="205" t="s">
        <v>1010</v>
      </c>
      <c r="BO13" s="205" t="s">
        <v>1010</v>
      </c>
      <c r="BP13" s="204" t="str">
        <f>IF(B13="", "", 'Split and Packaged Units'!$F$107)</f>
        <v/>
      </c>
      <c r="BQ13" s="205" t="str">
        <f>IF(B13="", "", 'Split and Packaged Units'!AN14)</f>
        <v/>
      </c>
      <c r="BR13" s="205" t="str">
        <f>IF(B13="", "", 'Split and Packaged Units'!AN14)</f>
        <v/>
      </c>
      <c r="BS13" s="205" t="str">
        <f>IF(B13="", "", 'Split and Packaged Units'!AO14)</f>
        <v/>
      </c>
      <c r="BT13" s="44" t="s">
        <v>1010</v>
      </c>
      <c r="BU13" s="44" t="str">
        <f>IF(B13="", "", 'Split and Packaged Units'!AO14)</f>
        <v/>
      </c>
      <c r="BV13" s="10" t="str">
        <f>IF(B13="", "", 'Split and Packaged Units'!AP14)</f>
        <v/>
      </c>
    </row>
    <row r="14" spans="1:74">
      <c r="A14" s="9" t="str">
        <f>IF(B14="", "", 13)</f>
        <v/>
      </c>
      <c r="B14" s="42" t="str">
        <f>IF(OR('Split and Packaged Units'!D15="", 'Split and Packaged Units'!U15="", 'Split and Packaged Units'!AS15="No"), "", 'Split and Packaged Units'!AT15)</f>
        <v/>
      </c>
      <c r="C14" s="9" t="str">
        <f>IF(B14="", "", 'Project Summary'!$C$7)</f>
        <v/>
      </c>
      <c r="D14" s="9" t="str">
        <f>IF(B14="", "", CONCATENATE('Project Summary'!$C$4, " - ", 'Project Summary'!$C$7))</f>
        <v/>
      </c>
      <c r="E14" s="6" t="str">
        <f t="shared" si="0"/>
        <v/>
      </c>
      <c r="F14" s="9" t="str">
        <f>IF(B14="", "", 'Project Summary'!$C$8)</f>
        <v/>
      </c>
      <c r="G14" s="9" t="str">
        <f>IF(B14="", "", 'Split and Packaged Units'!AV15)</f>
        <v/>
      </c>
      <c r="H14" s="9" t="str">
        <f t="shared" si="1"/>
        <v/>
      </c>
      <c r="I14" s="10" t="str">
        <f>IF(B14="", "", 'Lookup Tables'!$C$2)</f>
        <v/>
      </c>
      <c r="J14" s="9" t="str">
        <f>IF(B14="", "", 'Split and Packaged Units'!D15)</f>
        <v/>
      </c>
      <c r="K14" s="9" t="str">
        <f>IF(B14="", "", 'Split and Packaged Units'!R15)</f>
        <v/>
      </c>
      <c r="L14" s="204" t="str">
        <f>IF(B14="", "", 'Split and Packaged Units'!AU15)</f>
        <v/>
      </c>
      <c r="M14" s="204" t="str">
        <f>IF(B14="", "", 'Split and Packaged Units'!M15)</f>
        <v/>
      </c>
      <c r="N14" s="9" t="str">
        <f>IF(B14="", "", 'Split and Packaged Units'!C15)</f>
        <v/>
      </c>
      <c r="O14" s="9" t="str">
        <f>IF(B14="", "", 'Water Cooled Chillers'!E14)</f>
        <v/>
      </c>
      <c r="P14" s="9" t="str">
        <f>IF(B14="", "", 'Split and Packaged Units'!O15)</f>
        <v/>
      </c>
      <c r="Q14" s="9" t="str">
        <f>IF(B14="", "", 'Split and Packaged Units'!P15)</f>
        <v/>
      </c>
      <c r="R14" s="9" t="str">
        <f>IF(B14="", "", 'Split and Packaged Units'!U15)</f>
        <v/>
      </c>
      <c r="S14" s="9" t="s">
        <v>1010</v>
      </c>
      <c r="T14" s="9" t="str">
        <f>IF(B14="", "", 'Split and Packaged Units'!L15)</f>
        <v/>
      </c>
      <c r="U14" s="9" t="str">
        <f>IF(B14="", "", 'Split and Packaged Units'!N15)</f>
        <v/>
      </c>
      <c r="V14" s="9" t="s">
        <v>1010</v>
      </c>
      <c r="W14" s="9" t="s">
        <v>1010</v>
      </c>
      <c r="X14" s="9" t="s">
        <v>1010</v>
      </c>
      <c r="Y14" s="202" t="str">
        <f>IF(OR(B14="", 'Split and Packaged Units'!H15=""), "", 'Split and Packaged Units'!H15)</f>
        <v/>
      </c>
      <c r="Z14" s="29" t="str">
        <f>IF(B14="", "", 'Split and Packaged Units'!AG15)</f>
        <v/>
      </c>
      <c r="AA14" s="29" t="str">
        <f>IF(B14="", "", 'Split and Packaged Units'!AH15)</f>
        <v/>
      </c>
      <c r="AB14" s="29" t="s">
        <v>1010</v>
      </c>
      <c r="AC14" s="29" t="str">
        <f>IF(OR(B14="", 'Split and Packaged Units'!AJ15="-"), "", 'Split and Packaged Units'!AJ15)</f>
        <v/>
      </c>
      <c r="AD14" s="29" t="str">
        <f>IF(OR(B14="", 'Split and Packaged Units'!AK15="-"), "", 'Split and Packaged Units'!AK15)</f>
        <v/>
      </c>
      <c r="AE14" s="29" t="s">
        <v>1010</v>
      </c>
      <c r="AF14" s="29" t="str">
        <f>IF(B14="", "", 'Split and Packaged Units'!Y15)</f>
        <v/>
      </c>
      <c r="AG14" s="29" t="str">
        <f>IF(B14="", "", 'Split and Packaged Units'!Y15)</f>
        <v/>
      </c>
      <c r="AH14" s="29" t="s">
        <v>1010</v>
      </c>
      <c r="AI14" s="29" t="str">
        <f>IF(B14="", "", 'Split and Packaged Units'!AG15)</f>
        <v/>
      </c>
      <c r="AJ14" s="29" t="str">
        <f>IF(B14="", "", 'Split and Packaged Units'!AI15)</f>
        <v/>
      </c>
      <c r="AK14" s="29" t="s">
        <v>1010</v>
      </c>
      <c r="AL14" s="29" t="str">
        <f>IF(OR(B14="", 'Split and Packaged Units'!AJ15="-"), "", 'Split and Packaged Units'!AJ15)</f>
        <v/>
      </c>
      <c r="AM14" s="29" t="str">
        <f>IF(OR(B14="", 'Split and Packaged Units'!AL15="-"), "", 'Split and Packaged Units'!AL15)</f>
        <v/>
      </c>
      <c r="AN14" s="29" t="s">
        <v>1010</v>
      </c>
      <c r="AO14" s="45" t="str">
        <f>IF(B14="", "", 'Split and Packaged Units'!Y15)</f>
        <v/>
      </c>
      <c r="AP14" s="45" t="str">
        <f>IF(B14="", "", 'Split and Packaged Units'!AB15)</f>
        <v/>
      </c>
      <c r="AQ14" s="45" t="str">
        <f>IF(B14="", "", 'Split and Packaged Units'!AB15)</f>
        <v/>
      </c>
      <c r="AR14" s="29" t="s">
        <v>1010</v>
      </c>
      <c r="AS14" s="29" t="s">
        <v>1010</v>
      </c>
      <c r="AT14" s="29" t="s">
        <v>1010</v>
      </c>
      <c r="AU14" s="29" t="s">
        <v>1010</v>
      </c>
      <c r="AV14" s="29" t="s">
        <v>1010</v>
      </c>
      <c r="AW14" s="29" t="s">
        <v>1010</v>
      </c>
      <c r="AX14" s="29" t="s">
        <v>1010</v>
      </c>
      <c r="AY14" s="9" t="str">
        <f>IF(B14="", "", 'Split and Packaged Units'!AD15)</f>
        <v/>
      </c>
      <c r="AZ14" s="9" t="s">
        <v>1010</v>
      </c>
      <c r="BA14" s="9" t="s">
        <v>1010</v>
      </c>
      <c r="BB14" s="10" t="s">
        <v>1010</v>
      </c>
      <c r="BC14" s="10" t="str">
        <f>IF(B14="", "", 'Split and Packaged Units'!AE15)</f>
        <v/>
      </c>
      <c r="BD14" s="30" t="s">
        <v>1010</v>
      </c>
      <c r="BE14" s="30" t="s">
        <v>1010</v>
      </c>
      <c r="BF14" s="30" t="s">
        <v>1010</v>
      </c>
      <c r="BG14" s="5" t="s">
        <v>1010</v>
      </c>
      <c r="BH14" s="204" t="s">
        <v>1010</v>
      </c>
      <c r="BI14" s="204" t="s">
        <v>1010</v>
      </c>
      <c r="BJ14" s="9" t="s">
        <v>1010</v>
      </c>
      <c r="BK14" s="44" t="s">
        <v>1010</v>
      </c>
      <c r="BL14" s="44" t="s">
        <v>1010</v>
      </c>
      <c r="BM14" s="205" t="s">
        <v>1010</v>
      </c>
      <c r="BN14" s="205" t="s">
        <v>1010</v>
      </c>
      <c r="BO14" s="205" t="s">
        <v>1010</v>
      </c>
      <c r="BP14" s="204" t="str">
        <f>IF(B14="", "", 'Split and Packaged Units'!$F$107)</f>
        <v/>
      </c>
      <c r="BQ14" s="205" t="str">
        <f>IF(B14="", "", 'Split and Packaged Units'!AN15)</f>
        <v/>
      </c>
      <c r="BR14" s="205" t="str">
        <f>IF(B14="", "", 'Split and Packaged Units'!AN15)</f>
        <v/>
      </c>
      <c r="BS14" s="205" t="str">
        <f>IF(B14="", "", 'Split and Packaged Units'!AO15)</f>
        <v/>
      </c>
      <c r="BT14" s="44" t="s">
        <v>1010</v>
      </c>
      <c r="BU14" s="44" t="str">
        <f>IF(B14="", "", 'Split and Packaged Units'!AO15)</f>
        <v/>
      </c>
      <c r="BV14" s="10" t="str">
        <f>IF(B14="", "", 'Split and Packaged Units'!AP15)</f>
        <v/>
      </c>
    </row>
    <row r="15" spans="1:74">
      <c r="A15" s="9" t="str">
        <f>IF(B15="", "", 14)</f>
        <v/>
      </c>
      <c r="B15" s="42" t="str">
        <f>IF(OR('Split and Packaged Units'!D16="", 'Split and Packaged Units'!U16="", 'Split and Packaged Units'!AS16="No"), "", 'Split and Packaged Units'!AT16)</f>
        <v/>
      </c>
      <c r="C15" s="9" t="str">
        <f>IF(B15="", "", 'Project Summary'!$C$7)</f>
        <v/>
      </c>
      <c r="D15" s="9" t="str">
        <f>IF(B15="", "", CONCATENATE('Project Summary'!$C$4, " - ", 'Project Summary'!$C$7))</f>
        <v/>
      </c>
      <c r="E15" s="6" t="str">
        <f t="shared" si="0"/>
        <v/>
      </c>
      <c r="F15" s="9" t="str">
        <f>IF(B15="", "", 'Project Summary'!$C$8)</f>
        <v/>
      </c>
      <c r="G15" s="9" t="str">
        <f>IF(B15="", "", 'Split and Packaged Units'!AV16)</f>
        <v/>
      </c>
      <c r="H15" s="9" t="str">
        <f t="shared" si="1"/>
        <v/>
      </c>
      <c r="I15" s="10" t="str">
        <f>IF(B15="", "", 'Lookup Tables'!$C$2)</f>
        <v/>
      </c>
      <c r="J15" s="9" t="str">
        <f>IF(B15="", "", 'Split and Packaged Units'!D16)</f>
        <v/>
      </c>
      <c r="K15" s="9" t="str">
        <f>IF(B15="", "", 'Split and Packaged Units'!R16)</f>
        <v/>
      </c>
      <c r="L15" s="204" t="str">
        <f>IF(B15="", "", 'Split and Packaged Units'!AU16)</f>
        <v/>
      </c>
      <c r="M15" s="204" t="str">
        <f>IF(B15="", "", 'Split and Packaged Units'!M16)</f>
        <v/>
      </c>
      <c r="N15" s="9" t="str">
        <f>IF(B15="", "", 'Split and Packaged Units'!C16)</f>
        <v/>
      </c>
      <c r="O15" s="9" t="str">
        <f>IF(B15="", "", 'Water Cooled Chillers'!E15)</f>
        <v/>
      </c>
      <c r="P15" s="9" t="str">
        <f>IF(B15="", "", 'Split and Packaged Units'!O16)</f>
        <v/>
      </c>
      <c r="Q15" s="9" t="str">
        <f>IF(B15="", "", 'Split and Packaged Units'!P16)</f>
        <v/>
      </c>
      <c r="R15" s="9" t="str">
        <f>IF(B15="", "", 'Split and Packaged Units'!U16)</f>
        <v/>
      </c>
      <c r="S15" s="9" t="s">
        <v>1010</v>
      </c>
      <c r="T15" s="9" t="str">
        <f>IF(B15="", "", 'Split and Packaged Units'!L16)</f>
        <v/>
      </c>
      <c r="U15" s="9" t="str">
        <f>IF(B15="", "", 'Split and Packaged Units'!N16)</f>
        <v/>
      </c>
      <c r="V15" s="9" t="s">
        <v>1010</v>
      </c>
      <c r="W15" s="9" t="s">
        <v>1010</v>
      </c>
      <c r="X15" s="9" t="s">
        <v>1010</v>
      </c>
      <c r="Y15" s="202" t="str">
        <f>IF(OR(B15="", 'Split and Packaged Units'!H16=""), "", 'Split and Packaged Units'!H16)</f>
        <v/>
      </c>
      <c r="Z15" s="29" t="str">
        <f>IF(B15="", "", 'Split and Packaged Units'!AG16)</f>
        <v/>
      </c>
      <c r="AA15" s="29" t="str">
        <f>IF(B15="", "", 'Split and Packaged Units'!AH16)</f>
        <v/>
      </c>
      <c r="AB15" s="29" t="s">
        <v>1010</v>
      </c>
      <c r="AC15" s="29" t="str">
        <f>IF(OR(B15="", 'Split and Packaged Units'!AJ16="-"), "", 'Split and Packaged Units'!AJ16)</f>
        <v/>
      </c>
      <c r="AD15" s="29" t="str">
        <f>IF(OR(B15="", 'Split and Packaged Units'!AK16="-"), "", 'Split and Packaged Units'!AK16)</f>
        <v/>
      </c>
      <c r="AE15" s="29" t="s">
        <v>1010</v>
      </c>
      <c r="AF15" s="29" t="str">
        <f>IF(B15="", "", 'Split and Packaged Units'!Y16)</f>
        <v/>
      </c>
      <c r="AG15" s="29" t="str">
        <f>IF(B15="", "", 'Split and Packaged Units'!Y16)</f>
        <v/>
      </c>
      <c r="AH15" s="29" t="s">
        <v>1010</v>
      </c>
      <c r="AI15" s="29" t="str">
        <f>IF(B15="", "", 'Split and Packaged Units'!AG16)</f>
        <v/>
      </c>
      <c r="AJ15" s="29" t="str">
        <f>IF(B15="", "", 'Split and Packaged Units'!AI16)</f>
        <v/>
      </c>
      <c r="AK15" s="29" t="s">
        <v>1010</v>
      </c>
      <c r="AL15" s="29" t="str">
        <f>IF(OR(B15="", 'Split and Packaged Units'!AJ16="-"), "", 'Split and Packaged Units'!AJ16)</f>
        <v/>
      </c>
      <c r="AM15" s="29" t="str">
        <f>IF(OR(B15="", 'Split and Packaged Units'!AL16="-"), "", 'Split and Packaged Units'!AL16)</f>
        <v/>
      </c>
      <c r="AN15" s="29" t="s">
        <v>1010</v>
      </c>
      <c r="AO15" s="45" t="str">
        <f>IF(B15="", "", 'Split and Packaged Units'!Y16)</f>
        <v/>
      </c>
      <c r="AP15" s="45" t="str">
        <f>IF(B15="", "", 'Split and Packaged Units'!AB16)</f>
        <v/>
      </c>
      <c r="AQ15" s="45" t="str">
        <f>IF(B15="", "", 'Split and Packaged Units'!AB16)</f>
        <v/>
      </c>
      <c r="AR15" s="29" t="s">
        <v>1010</v>
      </c>
      <c r="AS15" s="29" t="s">
        <v>1010</v>
      </c>
      <c r="AT15" s="29" t="s">
        <v>1010</v>
      </c>
      <c r="AU15" s="29" t="s">
        <v>1010</v>
      </c>
      <c r="AV15" s="29" t="s">
        <v>1010</v>
      </c>
      <c r="AW15" s="29" t="s">
        <v>1010</v>
      </c>
      <c r="AX15" s="29" t="s">
        <v>1010</v>
      </c>
      <c r="AY15" s="9" t="str">
        <f>IF(B15="", "", 'Split and Packaged Units'!AD16)</f>
        <v/>
      </c>
      <c r="AZ15" s="9" t="s">
        <v>1010</v>
      </c>
      <c r="BA15" s="9" t="s">
        <v>1010</v>
      </c>
      <c r="BB15" s="10" t="s">
        <v>1010</v>
      </c>
      <c r="BC15" s="10" t="str">
        <f>IF(B15="", "", 'Split and Packaged Units'!AE16)</f>
        <v/>
      </c>
      <c r="BD15" s="30" t="s">
        <v>1010</v>
      </c>
      <c r="BE15" s="30" t="s">
        <v>1010</v>
      </c>
      <c r="BF15" s="30" t="s">
        <v>1010</v>
      </c>
      <c r="BG15" s="5" t="s">
        <v>1010</v>
      </c>
      <c r="BH15" s="204" t="s">
        <v>1010</v>
      </c>
      <c r="BI15" s="204" t="s">
        <v>1010</v>
      </c>
      <c r="BJ15" s="9" t="s">
        <v>1010</v>
      </c>
      <c r="BK15" s="44" t="s">
        <v>1010</v>
      </c>
      <c r="BL15" s="44" t="s">
        <v>1010</v>
      </c>
      <c r="BM15" s="205" t="s">
        <v>1010</v>
      </c>
      <c r="BN15" s="205" t="s">
        <v>1010</v>
      </c>
      <c r="BO15" s="205" t="s">
        <v>1010</v>
      </c>
      <c r="BP15" s="204" t="str">
        <f>IF(B15="", "", 'Split and Packaged Units'!$F$107)</f>
        <v/>
      </c>
      <c r="BQ15" s="205" t="str">
        <f>IF(B15="", "", 'Split and Packaged Units'!AN16)</f>
        <v/>
      </c>
      <c r="BR15" s="205" t="str">
        <f>IF(B15="", "", 'Split and Packaged Units'!AN16)</f>
        <v/>
      </c>
      <c r="BS15" s="205" t="str">
        <f>IF(B15="", "", 'Split and Packaged Units'!AO16)</f>
        <v/>
      </c>
      <c r="BT15" s="44" t="s">
        <v>1010</v>
      </c>
      <c r="BU15" s="44" t="str">
        <f>IF(B15="", "", 'Split and Packaged Units'!AO16)</f>
        <v/>
      </c>
      <c r="BV15" s="10" t="str">
        <f>IF(B15="", "", 'Split and Packaged Units'!AP16)</f>
        <v/>
      </c>
    </row>
    <row r="16" spans="1:74">
      <c r="A16" s="9" t="str">
        <f>IF(B16="", "", 15)</f>
        <v/>
      </c>
      <c r="B16" s="42" t="str">
        <f>IF(OR('Split and Packaged Units'!D17="", 'Split and Packaged Units'!U17="", 'Split and Packaged Units'!AS17="No"), "", 'Split and Packaged Units'!AT17)</f>
        <v/>
      </c>
      <c r="C16" s="9" t="str">
        <f>IF(B16="", "", 'Project Summary'!$C$7)</f>
        <v/>
      </c>
      <c r="D16" s="9" t="str">
        <f>IF(B16="", "", CONCATENATE('Project Summary'!$C$4, " - ", 'Project Summary'!$C$7))</f>
        <v/>
      </c>
      <c r="E16" s="6" t="str">
        <f t="shared" si="0"/>
        <v/>
      </c>
      <c r="F16" s="9" t="str">
        <f>IF(B16="", "", 'Project Summary'!$C$8)</f>
        <v/>
      </c>
      <c r="G16" s="9" t="str">
        <f>IF(B16="", "", 'Split and Packaged Units'!AV17)</f>
        <v/>
      </c>
      <c r="H16" s="9" t="str">
        <f t="shared" si="1"/>
        <v/>
      </c>
      <c r="I16" s="10" t="str">
        <f>IF(B16="", "", 'Lookup Tables'!$C$2)</f>
        <v/>
      </c>
      <c r="J16" s="9" t="str">
        <f>IF(B16="", "", 'Split and Packaged Units'!D17)</f>
        <v/>
      </c>
      <c r="K16" s="9" t="str">
        <f>IF(B16="", "", 'Split and Packaged Units'!R17)</f>
        <v/>
      </c>
      <c r="L16" s="204" t="str">
        <f>IF(B16="", "", 'Split and Packaged Units'!AU17)</f>
        <v/>
      </c>
      <c r="M16" s="204" t="str">
        <f>IF(B16="", "", 'Split and Packaged Units'!M17)</f>
        <v/>
      </c>
      <c r="N16" s="9" t="str">
        <f>IF(B16="", "", 'Split and Packaged Units'!C17)</f>
        <v/>
      </c>
      <c r="O16" s="9" t="str">
        <f>IF(B16="", "", 'Water Cooled Chillers'!E16)</f>
        <v/>
      </c>
      <c r="P16" s="9" t="str">
        <f>IF(B16="", "", 'Split and Packaged Units'!O17)</f>
        <v/>
      </c>
      <c r="Q16" s="9" t="str">
        <f>IF(B16="", "", 'Split and Packaged Units'!P17)</f>
        <v/>
      </c>
      <c r="R16" s="9" t="str">
        <f>IF(B16="", "", 'Split and Packaged Units'!U17)</f>
        <v/>
      </c>
      <c r="S16" s="9" t="s">
        <v>1010</v>
      </c>
      <c r="T16" s="9" t="str">
        <f>IF(B16="", "", 'Split and Packaged Units'!L17)</f>
        <v/>
      </c>
      <c r="U16" s="9" t="str">
        <f>IF(B16="", "", 'Split and Packaged Units'!N17)</f>
        <v/>
      </c>
      <c r="V16" s="9" t="s">
        <v>1010</v>
      </c>
      <c r="W16" s="9" t="s">
        <v>1010</v>
      </c>
      <c r="X16" s="9" t="s">
        <v>1010</v>
      </c>
      <c r="Y16" s="202" t="str">
        <f>IF(OR(B16="", 'Split and Packaged Units'!H17=""), "", 'Split and Packaged Units'!H17)</f>
        <v/>
      </c>
      <c r="Z16" s="29" t="str">
        <f>IF(B16="", "", 'Split and Packaged Units'!AG17)</f>
        <v/>
      </c>
      <c r="AA16" s="29" t="str">
        <f>IF(B16="", "", 'Split and Packaged Units'!AH17)</f>
        <v/>
      </c>
      <c r="AB16" s="29" t="s">
        <v>1010</v>
      </c>
      <c r="AC16" s="29" t="str">
        <f>IF(OR(B16="", 'Split and Packaged Units'!AJ17="-"), "", 'Split and Packaged Units'!AJ17)</f>
        <v/>
      </c>
      <c r="AD16" s="29" t="str">
        <f>IF(OR(B16="", 'Split and Packaged Units'!AK17="-"), "", 'Split and Packaged Units'!AK17)</f>
        <v/>
      </c>
      <c r="AE16" s="29" t="s">
        <v>1010</v>
      </c>
      <c r="AF16" s="29" t="str">
        <f>IF(B16="", "", 'Split and Packaged Units'!Y17)</f>
        <v/>
      </c>
      <c r="AG16" s="29" t="str">
        <f>IF(B16="", "", 'Split and Packaged Units'!Y17)</f>
        <v/>
      </c>
      <c r="AH16" s="29" t="s">
        <v>1010</v>
      </c>
      <c r="AI16" s="29" t="str">
        <f>IF(B16="", "", 'Split and Packaged Units'!AG17)</f>
        <v/>
      </c>
      <c r="AJ16" s="29" t="str">
        <f>IF(B16="", "", 'Split and Packaged Units'!AI17)</f>
        <v/>
      </c>
      <c r="AK16" s="29" t="s">
        <v>1010</v>
      </c>
      <c r="AL16" s="29" t="str">
        <f>IF(OR(B16="", 'Split and Packaged Units'!AJ17="-"), "", 'Split and Packaged Units'!AJ17)</f>
        <v/>
      </c>
      <c r="AM16" s="29" t="str">
        <f>IF(OR(B16="", 'Split and Packaged Units'!AL17="-"), "", 'Split and Packaged Units'!AL17)</f>
        <v/>
      </c>
      <c r="AN16" s="29" t="s">
        <v>1010</v>
      </c>
      <c r="AO16" s="45" t="str">
        <f>IF(B16="", "", 'Split and Packaged Units'!Y17)</f>
        <v/>
      </c>
      <c r="AP16" s="45" t="str">
        <f>IF(B16="", "", 'Split and Packaged Units'!AB17)</f>
        <v/>
      </c>
      <c r="AQ16" s="45" t="str">
        <f>IF(B16="", "", 'Split and Packaged Units'!AB17)</f>
        <v/>
      </c>
      <c r="AR16" s="29" t="s">
        <v>1010</v>
      </c>
      <c r="AS16" s="29" t="s">
        <v>1010</v>
      </c>
      <c r="AT16" s="29" t="s">
        <v>1010</v>
      </c>
      <c r="AU16" s="29" t="s">
        <v>1010</v>
      </c>
      <c r="AV16" s="29" t="s">
        <v>1010</v>
      </c>
      <c r="AW16" s="29" t="s">
        <v>1010</v>
      </c>
      <c r="AX16" s="29" t="s">
        <v>1010</v>
      </c>
      <c r="AY16" s="9" t="str">
        <f>IF(B16="", "", 'Split and Packaged Units'!AD17)</f>
        <v/>
      </c>
      <c r="AZ16" s="9" t="s">
        <v>1010</v>
      </c>
      <c r="BA16" s="9" t="s">
        <v>1010</v>
      </c>
      <c r="BB16" s="10" t="s">
        <v>1010</v>
      </c>
      <c r="BC16" s="10" t="str">
        <f>IF(B16="", "", 'Split and Packaged Units'!AE17)</f>
        <v/>
      </c>
      <c r="BD16" s="30" t="s">
        <v>1010</v>
      </c>
      <c r="BE16" s="30" t="s">
        <v>1010</v>
      </c>
      <c r="BF16" s="30" t="s">
        <v>1010</v>
      </c>
      <c r="BG16" s="5" t="s">
        <v>1010</v>
      </c>
      <c r="BH16" s="204" t="s">
        <v>1010</v>
      </c>
      <c r="BI16" s="204" t="s">
        <v>1010</v>
      </c>
      <c r="BJ16" s="9" t="s">
        <v>1010</v>
      </c>
      <c r="BK16" s="44" t="s">
        <v>1010</v>
      </c>
      <c r="BL16" s="44" t="s">
        <v>1010</v>
      </c>
      <c r="BM16" s="205" t="s">
        <v>1010</v>
      </c>
      <c r="BN16" s="205" t="s">
        <v>1010</v>
      </c>
      <c r="BO16" s="205" t="s">
        <v>1010</v>
      </c>
      <c r="BP16" s="204" t="str">
        <f>IF(B16="", "", 'Split and Packaged Units'!$F$107)</f>
        <v/>
      </c>
      <c r="BQ16" s="205" t="str">
        <f>IF(B16="", "", 'Split and Packaged Units'!AN17)</f>
        <v/>
      </c>
      <c r="BR16" s="205" t="str">
        <f>IF(B16="", "", 'Split and Packaged Units'!AN17)</f>
        <v/>
      </c>
      <c r="BS16" s="205" t="str">
        <f>IF(B16="", "", 'Split and Packaged Units'!AO17)</f>
        <v/>
      </c>
      <c r="BT16" s="44" t="s">
        <v>1010</v>
      </c>
      <c r="BU16" s="44" t="str">
        <f>IF(B16="", "", 'Split and Packaged Units'!AO17)</f>
        <v/>
      </c>
      <c r="BV16" s="10" t="str">
        <f>IF(B16="", "", 'Split and Packaged Units'!AP17)</f>
        <v/>
      </c>
    </row>
    <row r="17" spans="1:74">
      <c r="A17" s="9" t="str">
        <f>IF(B17="", "", 16)</f>
        <v/>
      </c>
      <c r="B17" s="42" t="str">
        <f>IF(OR('Split and Packaged Units'!D18="", 'Split and Packaged Units'!U18="", 'Split and Packaged Units'!AS18="No"), "", 'Split and Packaged Units'!AT18)</f>
        <v/>
      </c>
      <c r="C17" s="9" t="str">
        <f>IF(B17="", "", 'Project Summary'!$C$7)</f>
        <v/>
      </c>
      <c r="D17" s="9" t="str">
        <f>IF(B17="", "", CONCATENATE('Project Summary'!$C$4, " - ", 'Project Summary'!$C$7))</f>
        <v/>
      </c>
      <c r="E17" s="6" t="str">
        <f t="shared" si="0"/>
        <v/>
      </c>
      <c r="F17" s="9" t="str">
        <f>IF(B17="", "", 'Project Summary'!$C$8)</f>
        <v/>
      </c>
      <c r="G17" s="9" t="str">
        <f>IF(B17="", "", 'Split and Packaged Units'!AV18)</f>
        <v/>
      </c>
      <c r="H17" s="9" t="str">
        <f t="shared" si="1"/>
        <v/>
      </c>
      <c r="I17" s="10" t="str">
        <f>IF(B17="", "", 'Lookup Tables'!$C$2)</f>
        <v/>
      </c>
      <c r="J17" s="9" t="str">
        <f>IF(B17="", "", 'Split and Packaged Units'!D18)</f>
        <v/>
      </c>
      <c r="K17" s="9" t="str">
        <f>IF(B17="", "", 'Split and Packaged Units'!R18)</f>
        <v/>
      </c>
      <c r="L17" s="204" t="str">
        <f>IF(B17="", "", 'Split and Packaged Units'!AU18)</f>
        <v/>
      </c>
      <c r="M17" s="204" t="str">
        <f>IF(B17="", "", 'Split and Packaged Units'!M18)</f>
        <v/>
      </c>
      <c r="N17" s="9" t="str">
        <f>IF(B17="", "", 'Split and Packaged Units'!C18)</f>
        <v/>
      </c>
      <c r="O17" s="9" t="str">
        <f>IF(B17="", "", 'Water Cooled Chillers'!E17)</f>
        <v/>
      </c>
      <c r="P17" s="9" t="str">
        <f>IF(B17="", "", 'Split and Packaged Units'!O18)</f>
        <v/>
      </c>
      <c r="Q17" s="9" t="str">
        <f>IF(B17="", "", 'Split and Packaged Units'!P18)</f>
        <v/>
      </c>
      <c r="R17" s="9" t="str">
        <f>IF(B17="", "", 'Split and Packaged Units'!U18)</f>
        <v/>
      </c>
      <c r="S17" s="9" t="s">
        <v>1010</v>
      </c>
      <c r="T17" s="9" t="str">
        <f>IF(B17="", "", 'Split and Packaged Units'!L18)</f>
        <v/>
      </c>
      <c r="U17" s="9" t="str">
        <f>IF(B17="", "", 'Split and Packaged Units'!N18)</f>
        <v/>
      </c>
      <c r="V17" s="9" t="s">
        <v>1010</v>
      </c>
      <c r="W17" s="9" t="s">
        <v>1010</v>
      </c>
      <c r="X17" s="9" t="s">
        <v>1010</v>
      </c>
      <c r="Y17" s="202" t="str">
        <f>IF(OR(B17="", 'Split and Packaged Units'!H18=""), "", 'Split and Packaged Units'!H18)</f>
        <v/>
      </c>
      <c r="Z17" s="29" t="str">
        <f>IF(B17="", "", 'Split and Packaged Units'!AG18)</f>
        <v/>
      </c>
      <c r="AA17" s="29" t="str">
        <f>IF(B17="", "", 'Split and Packaged Units'!AH18)</f>
        <v/>
      </c>
      <c r="AB17" s="29" t="s">
        <v>1010</v>
      </c>
      <c r="AC17" s="29" t="str">
        <f>IF(OR(B17="", 'Split and Packaged Units'!AJ18="-"), "", 'Split and Packaged Units'!AJ18)</f>
        <v/>
      </c>
      <c r="AD17" s="29" t="str">
        <f>IF(OR(B17="", 'Split and Packaged Units'!AK18="-"), "", 'Split and Packaged Units'!AK18)</f>
        <v/>
      </c>
      <c r="AE17" s="29" t="s">
        <v>1010</v>
      </c>
      <c r="AF17" s="29" t="str">
        <f>IF(B17="", "", 'Split and Packaged Units'!Y18)</f>
        <v/>
      </c>
      <c r="AG17" s="29" t="str">
        <f>IF(B17="", "", 'Split and Packaged Units'!Y18)</f>
        <v/>
      </c>
      <c r="AH17" s="29" t="s">
        <v>1010</v>
      </c>
      <c r="AI17" s="29" t="str">
        <f>IF(B17="", "", 'Split and Packaged Units'!AG18)</f>
        <v/>
      </c>
      <c r="AJ17" s="29" t="str">
        <f>IF(B17="", "", 'Split and Packaged Units'!AI18)</f>
        <v/>
      </c>
      <c r="AK17" s="29" t="s">
        <v>1010</v>
      </c>
      <c r="AL17" s="29" t="str">
        <f>IF(OR(B17="", 'Split and Packaged Units'!AJ18="-"), "", 'Split and Packaged Units'!AJ18)</f>
        <v/>
      </c>
      <c r="AM17" s="29" t="str">
        <f>IF(OR(B17="", 'Split and Packaged Units'!AL18="-"), "", 'Split and Packaged Units'!AL18)</f>
        <v/>
      </c>
      <c r="AN17" s="29" t="s">
        <v>1010</v>
      </c>
      <c r="AO17" s="45" t="str">
        <f>IF(B17="", "", 'Split and Packaged Units'!Y18)</f>
        <v/>
      </c>
      <c r="AP17" s="45" t="str">
        <f>IF(B17="", "", 'Split and Packaged Units'!AB18)</f>
        <v/>
      </c>
      <c r="AQ17" s="45" t="str">
        <f>IF(B17="", "", 'Split and Packaged Units'!AB18)</f>
        <v/>
      </c>
      <c r="AR17" s="29" t="s">
        <v>1010</v>
      </c>
      <c r="AS17" s="29" t="s">
        <v>1010</v>
      </c>
      <c r="AT17" s="29" t="s">
        <v>1010</v>
      </c>
      <c r="AU17" s="29" t="s">
        <v>1010</v>
      </c>
      <c r="AV17" s="29" t="s">
        <v>1010</v>
      </c>
      <c r="AW17" s="29" t="s">
        <v>1010</v>
      </c>
      <c r="AX17" s="29" t="s">
        <v>1010</v>
      </c>
      <c r="AY17" s="9" t="str">
        <f>IF(B17="", "", 'Split and Packaged Units'!AD18)</f>
        <v/>
      </c>
      <c r="AZ17" s="9" t="s">
        <v>1010</v>
      </c>
      <c r="BA17" s="9" t="s">
        <v>1010</v>
      </c>
      <c r="BB17" s="10" t="s">
        <v>1010</v>
      </c>
      <c r="BC17" s="10" t="str">
        <f>IF(B17="", "", 'Split and Packaged Units'!AE18)</f>
        <v/>
      </c>
      <c r="BD17" s="30" t="s">
        <v>1010</v>
      </c>
      <c r="BE17" s="30" t="s">
        <v>1010</v>
      </c>
      <c r="BF17" s="30" t="s">
        <v>1010</v>
      </c>
      <c r="BG17" s="5" t="s">
        <v>1010</v>
      </c>
      <c r="BH17" s="204" t="s">
        <v>1010</v>
      </c>
      <c r="BI17" s="204" t="s">
        <v>1010</v>
      </c>
      <c r="BJ17" s="9" t="s">
        <v>1010</v>
      </c>
      <c r="BK17" s="44" t="s">
        <v>1010</v>
      </c>
      <c r="BL17" s="44" t="s">
        <v>1010</v>
      </c>
      <c r="BM17" s="205" t="s">
        <v>1010</v>
      </c>
      <c r="BN17" s="205" t="s">
        <v>1010</v>
      </c>
      <c r="BO17" s="205" t="s">
        <v>1010</v>
      </c>
      <c r="BP17" s="204" t="str">
        <f>IF(B17="", "", 'Split and Packaged Units'!$F$107)</f>
        <v/>
      </c>
      <c r="BQ17" s="205" t="str">
        <f>IF(B17="", "", 'Split and Packaged Units'!AN18)</f>
        <v/>
      </c>
      <c r="BR17" s="205" t="str">
        <f>IF(B17="", "", 'Split and Packaged Units'!AN18)</f>
        <v/>
      </c>
      <c r="BS17" s="205" t="str">
        <f>IF(B17="", "", 'Split and Packaged Units'!AO18)</f>
        <v/>
      </c>
      <c r="BT17" s="44" t="s">
        <v>1010</v>
      </c>
      <c r="BU17" s="44" t="str">
        <f>IF(B17="", "", 'Split and Packaged Units'!AO18)</f>
        <v/>
      </c>
      <c r="BV17" s="10" t="str">
        <f>IF(B17="", "", 'Split and Packaged Units'!AP18)</f>
        <v/>
      </c>
    </row>
    <row r="18" spans="1:74">
      <c r="A18" s="9" t="str">
        <f>IF(B18="", "", 17)</f>
        <v/>
      </c>
      <c r="B18" s="42" t="str">
        <f>IF(OR('Air Source Heat Pumps'!D11="", 'Air Source Heat Pumps'!S11="", 'Air Source Heat Pumps'!BE11="No"), "", 'Air Source Heat Pumps'!BF11)</f>
        <v/>
      </c>
      <c r="C18" s="9" t="str">
        <f>IF(B18="", "", 'Project Summary'!$C$7)</f>
        <v/>
      </c>
      <c r="D18" s="9" t="str">
        <f>IF(B18="", "", CONCATENATE('Project Summary'!$C$4, " - ", 'Project Summary'!$C$7))</f>
        <v/>
      </c>
      <c r="E18" s="6" t="str">
        <f>IF(B18="", "", "FPHVPR")</f>
        <v/>
      </c>
      <c r="F18" s="9" t="str">
        <f>IF(B18="", "", 'Project Summary'!$C$8)</f>
        <v/>
      </c>
      <c r="G18" s="9" t="str">
        <f>IF(B18="", "", 'Air Source Heat Pumps'!BH11)</f>
        <v/>
      </c>
      <c r="H18" s="9" t="str">
        <f>IF(B18="", "", CONCATENATE(C18, A18))</f>
        <v/>
      </c>
      <c r="I18" s="10" t="str">
        <f>IF(B18="", "", 'Lookup Tables'!$C$2)</f>
        <v/>
      </c>
      <c r="J18" s="9" t="str">
        <f>IF(B18="", "", 'Air Source Heat Pumps'!D11)</f>
        <v/>
      </c>
      <c r="K18" s="9" t="str">
        <f>IF(B18="", "", 'Air Source Heat Pumps'!R11)</f>
        <v/>
      </c>
      <c r="L18" s="204" t="str">
        <f>IF(B18="", "", 'Air Source Heat Pumps'!BG11)</f>
        <v/>
      </c>
      <c r="M18" s="204" t="str">
        <f>IF(B18="", "", 'Air Source Heat Pumps'!C11)</f>
        <v/>
      </c>
      <c r="N18" s="9" t="str">
        <f>IF(B18="", "", 'Air Source Heat Pumps'!C11)</f>
        <v/>
      </c>
      <c r="O18" s="9" t="str">
        <f>IF(B18="", "", 'Air Source Heat Pumps'!E11)</f>
        <v/>
      </c>
      <c r="P18" s="9" t="str">
        <f>IF(B18="", "", 'Air Source Heat Pumps'!P11)</f>
        <v/>
      </c>
      <c r="Q18" s="9" t="str">
        <f>IF(B18="", "", 'Air Source Heat Pumps'!Q11)</f>
        <v/>
      </c>
      <c r="R18" s="9" t="str">
        <f>IF(B18="", "", 'Air Source Heat Pumps'!S11)</f>
        <v/>
      </c>
      <c r="S18" s="9" t="str">
        <f>IF(B18="", "", 'Air Source Heat Pumps'!AB11)</f>
        <v/>
      </c>
      <c r="T18" s="9" t="str">
        <f>IF(B18="", "", 'Air Source Heat Pumps'!N11)</f>
        <v/>
      </c>
      <c r="U18" s="9" t="str">
        <f>IF(B18="", "", 'Air Source Heat Pumps'!O11)</f>
        <v/>
      </c>
      <c r="V18" s="9" t="s">
        <v>1010</v>
      </c>
      <c r="W18" s="9" t="s">
        <v>1010</v>
      </c>
      <c r="X18" s="9" t="s">
        <v>1010</v>
      </c>
      <c r="Y18" s="202" t="str">
        <f>IF(OR(B18="",'Air Source Heat Pumps'!H11=""), "", 'Air Source Heat Pumps'!H11)</f>
        <v/>
      </c>
      <c r="Z18" s="29" t="str">
        <f>IF(OR(B18="", 'Air Source Heat Pumps'!AN11="-"), "", 'Air Source Heat Pumps'!AN11)</f>
        <v/>
      </c>
      <c r="AA18" s="29" t="str">
        <f>IF(B18="", "", 'Air Source Heat Pumps'!AO11)</f>
        <v/>
      </c>
      <c r="AB18" s="29" t="s">
        <v>1010</v>
      </c>
      <c r="AC18" s="29" t="str">
        <f>IF(OR(B18="", 'Air Source Heat Pumps'!AS11="-"), "", 'Air Source Heat Pumps'!AS11)</f>
        <v/>
      </c>
      <c r="AD18" s="29" t="str">
        <f>IF(OR(B18="", 'Air Source Heat Pumps'!AT11="-"), "", 'Air Source Heat Pumps'!AT11)</f>
        <v/>
      </c>
      <c r="AE18" s="29" t="s">
        <v>1010</v>
      </c>
      <c r="AF18" s="29" t="str">
        <f>IF(B18="", "", 'Air Source Heat Pumps'!X11)</f>
        <v/>
      </c>
      <c r="AG18" s="29" t="str">
        <f>IF(B18="", "", 'Air Source Heat Pumps'!X11)</f>
        <v/>
      </c>
      <c r="AH18" s="29" t="s">
        <v>1010</v>
      </c>
      <c r="AI18" s="29" t="str">
        <f>IF(OR(B18="", 'Air Source Heat Pumps'!AN11="-"), "", 'Air Source Heat Pumps'!AN11)</f>
        <v/>
      </c>
      <c r="AJ18" s="29" t="str">
        <f>IF(B18="", "", 'Air Source Heat Pumps'!AA11)</f>
        <v/>
      </c>
      <c r="AK18" s="29" t="s">
        <v>1010</v>
      </c>
      <c r="AL18" s="29" t="str">
        <f>IF(OR(B18="", 'Air Source Heat Pumps'!AS11="-"), "", 'Air Source Heat Pumps'!AS11)</f>
        <v/>
      </c>
      <c r="AM18" s="29" t="str">
        <f>IF(OR(B18="",  'Air Source Heat Pumps'!AU11="-"), "", 'Air Source Heat Pumps'!AU11)</f>
        <v/>
      </c>
      <c r="AN18" s="29" t="s">
        <v>1010</v>
      </c>
      <c r="AO18" s="45" t="str">
        <f>IF(B18="", "", 'Air Source Heat Pumps'!X11)</f>
        <v/>
      </c>
      <c r="AP18" s="45" t="str">
        <f>IF(B18="", "",'Air Source Heat Pumps'!AA11)</f>
        <v/>
      </c>
      <c r="AQ18" s="45" t="str">
        <f>IF(B18="", "", 'Air Source Heat Pumps'!AA11)</f>
        <v/>
      </c>
      <c r="AR18" s="29" t="s">
        <v>1010</v>
      </c>
      <c r="AS18" s="29" t="str">
        <f>IF(OR(B18="", 'Air Source Heat Pumps'!AQ11="-"), "", 'Air Source Heat Pumps'!AQ11)</f>
        <v/>
      </c>
      <c r="AT18" s="29" t="str">
        <f>IF(OR(B18="", 'Air Source Heat Pumps'!AR11="-"), "", 'Air Source Heat Pumps'!AR11)</f>
        <v/>
      </c>
      <c r="AU18" s="29" t="str">
        <f>IF(OR(B18="", 'Air Source Heat Pumps'!AV11="-"), "", 'Air Source Heat Pumps'!AV11)</f>
        <v/>
      </c>
      <c r="AV18" s="29" t="str">
        <f>IF(OR(B18="", 'Air Source Heat Pumps'!AW11="-"), "", 'Air Source Heat Pumps'!AW11)</f>
        <v/>
      </c>
      <c r="AW18" s="29" t="str">
        <f>IF(B18="", "", 'Air Source Heat Pumps'!AF11)</f>
        <v/>
      </c>
      <c r="AX18" s="29" t="str">
        <f>IF(B18="", "", 'Air Source Heat Pumps'!AF11)</f>
        <v/>
      </c>
      <c r="AY18" s="9" t="str">
        <f>IF(B18="", "", 'Air Source Heat Pumps'!AG11)</f>
        <v/>
      </c>
      <c r="AZ18" s="204" t="str">
        <f>IF(B18="", "", 'Air Source Heat Pumps'!AH11)</f>
        <v/>
      </c>
      <c r="BA18" s="9" t="s">
        <v>1010</v>
      </c>
      <c r="BB18" s="10" t="s">
        <v>1010</v>
      </c>
      <c r="BC18" s="10" t="str">
        <f>IF(B18="", "", 'Air Source Heat Pumps'!AL11)</f>
        <v/>
      </c>
      <c r="BD18" s="30" t="s">
        <v>1010</v>
      </c>
      <c r="BE18" s="30" t="s">
        <v>1010</v>
      </c>
      <c r="BF18" s="30" t="s">
        <v>1010</v>
      </c>
      <c r="BG18" s="5" t="s">
        <v>1010</v>
      </c>
      <c r="BH18" s="204" t="s">
        <v>1010</v>
      </c>
      <c r="BI18" s="204" t="s">
        <v>1010</v>
      </c>
      <c r="BJ18" s="9" t="s">
        <v>1010</v>
      </c>
      <c r="BK18" s="44" t="s">
        <v>1010</v>
      </c>
      <c r="BL18" s="44" t="s">
        <v>1010</v>
      </c>
      <c r="BM18" s="205" t="s">
        <v>1010</v>
      </c>
      <c r="BN18" s="205" t="s">
        <v>1010</v>
      </c>
      <c r="BO18" s="205" t="s">
        <v>1010</v>
      </c>
      <c r="BP18" s="204" t="str">
        <f>IF(B18="", "", 'Air Source Heat Pumps'!$F$38)</f>
        <v/>
      </c>
      <c r="BQ18" s="205" t="str">
        <f>IF(B18="", "", 'Air Source Heat Pumps'!AY11)</f>
        <v/>
      </c>
      <c r="BR18" s="205" t="str">
        <f>IF(B18="", "", 'Air Source Heat Pumps'!AY11)</f>
        <v/>
      </c>
      <c r="BS18" s="205" t="str">
        <f>IF(B18="", "", 'Air Source Heat Pumps'!AZ11)</f>
        <v/>
      </c>
      <c r="BT18" s="44" t="str">
        <f>IF(B18="", "", 'Air Source Heat Pumps'!BA11)</f>
        <v/>
      </c>
      <c r="BU18" s="44" t="str">
        <f>IF(B18="", "", 'Air Source Heat Pumps'!BB11)</f>
        <v/>
      </c>
      <c r="BV18" s="10" t="str">
        <f>IF(B18="", "", 'Air Source Heat Pumps'!BC11)</f>
        <v/>
      </c>
    </row>
    <row r="19" spans="1:74">
      <c r="A19" s="9" t="str">
        <f>IF(B19="", "", 18)</f>
        <v/>
      </c>
      <c r="B19" s="42" t="str">
        <f>IF(OR('Air Source Heat Pumps'!D12="", 'Air Source Heat Pumps'!S12="", 'Air Source Heat Pumps'!BE12="No"), "", 'Air Source Heat Pumps'!BF12)</f>
        <v/>
      </c>
      <c r="C19" s="9" t="str">
        <f>IF(B19="", "", 'Project Summary'!$C$7)</f>
        <v/>
      </c>
      <c r="D19" s="9" t="str">
        <f>IF(B19="", "", CONCATENATE('Project Summary'!$C$4, " - ", 'Project Summary'!$C$7))</f>
        <v/>
      </c>
      <c r="E19" s="6" t="str">
        <f t="shared" si="0"/>
        <v/>
      </c>
      <c r="F19" s="9" t="str">
        <f>IF(B19="", "", 'Project Summary'!$C$8)</f>
        <v/>
      </c>
      <c r="G19" s="9" t="str">
        <f>IF(B19="", "", 'Air Source Heat Pumps'!BH12)</f>
        <v/>
      </c>
      <c r="H19" s="9" t="str">
        <f t="shared" ref="H19:H33" si="2">IF(B19="", "", CONCATENATE(C19, A19))</f>
        <v/>
      </c>
      <c r="I19" s="10" t="str">
        <f>IF(B19="", "", 'Lookup Tables'!$C$2)</f>
        <v/>
      </c>
      <c r="J19" s="9" t="str">
        <f>IF(B19="", "", 'Air Source Heat Pumps'!D12)</f>
        <v/>
      </c>
      <c r="K19" s="9" t="str">
        <f>IF(B19="", "", 'Air Source Heat Pumps'!R12)</f>
        <v/>
      </c>
      <c r="L19" s="204" t="str">
        <f>IF(B19="", "", 'Air Source Heat Pumps'!BG12)</f>
        <v/>
      </c>
      <c r="M19" s="204" t="str">
        <f>IF(B19="", "", 'Air Source Heat Pumps'!C12)</f>
        <v/>
      </c>
      <c r="N19" s="9" t="str">
        <f>IF(B19="", "", 'Air Source Heat Pumps'!C12)</f>
        <v/>
      </c>
      <c r="O19" s="9" t="str">
        <f>IF(B19="", "", 'Air Source Heat Pumps'!E12)</f>
        <v/>
      </c>
      <c r="P19" s="9" t="str">
        <f>IF(B19="", "", 'Air Source Heat Pumps'!P12)</f>
        <v/>
      </c>
      <c r="Q19" s="9" t="str">
        <f>IF(B19="", "", 'Air Source Heat Pumps'!Q12)</f>
        <v/>
      </c>
      <c r="R19" s="9" t="str">
        <f>IF(B19="", "", 'Air Source Heat Pumps'!S12)</f>
        <v/>
      </c>
      <c r="S19" s="9" t="str">
        <f>IF(B19="", "", 'Air Source Heat Pumps'!AB12)</f>
        <v/>
      </c>
      <c r="T19" s="9" t="str">
        <f>IF(B19="", "", 'Air Source Heat Pumps'!N12)</f>
        <v/>
      </c>
      <c r="U19" s="9" t="str">
        <f>IF(B19="", "", 'Air Source Heat Pumps'!O12)</f>
        <v/>
      </c>
      <c r="V19" s="9" t="s">
        <v>1010</v>
      </c>
      <c r="W19" s="9" t="s">
        <v>1010</v>
      </c>
      <c r="X19" s="9" t="s">
        <v>1010</v>
      </c>
      <c r="Y19" s="202" t="str">
        <f>IF(OR(B19="",'Air Source Heat Pumps'!H12=""), "", 'Air Source Heat Pumps'!H12)</f>
        <v/>
      </c>
      <c r="Z19" s="29" t="str">
        <f>IF(OR(B19="", 'Air Source Heat Pumps'!AN12="-"), "", 'Air Source Heat Pumps'!AN12)</f>
        <v/>
      </c>
      <c r="AA19" s="29" t="str">
        <f>IF(B19="", "", 'Air Source Heat Pumps'!AO12)</f>
        <v/>
      </c>
      <c r="AB19" s="29" t="s">
        <v>1010</v>
      </c>
      <c r="AC19" s="29" t="str">
        <f>IF(OR(B19="", 'Air Source Heat Pumps'!AS12="-"), "", 'Air Source Heat Pumps'!AS12)</f>
        <v/>
      </c>
      <c r="AD19" s="29" t="str">
        <f>IF(OR(B19="", 'Air Source Heat Pumps'!AT12="-"), "", 'Air Source Heat Pumps'!AT12)</f>
        <v/>
      </c>
      <c r="AE19" s="29" t="s">
        <v>1010</v>
      </c>
      <c r="AF19" s="29" t="str">
        <f>IF(B19="", "", 'Air Source Heat Pumps'!X12)</f>
        <v/>
      </c>
      <c r="AG19" s="29" t="str">
        <f>IF(B19="", "", 'Air Source Heat Pumps'!X12)</f>
        <v/>
      </c>
      <c r="AH19" s="29" t="s">
        <v>1010</v>
      </c>
      <c r="AI19" s="29" t="str">
        <f>IF(OR(B19="", 'Air Source Heat Pumps'!AN12="-"), "", 'Air Source Heat Pumps'!AN12)</f>
        <v/>
      </c>
      <c r="AJ19" s="29" t="str">
        <f>IF(B19="", "", 'Air Source Heat Pumps'!AA12)</f>
        <v/>
      </c>
      <c r="AK19" s="29" t="s">
        <v>1010</v>
      </c>
      <c r="AL19" s="29" t="str">
        <f>IF(OR(B19="", 'Air Source Heat Pumps'!AS12="-"), "", 'Air Source Heat Pumps'!AS12)</f>
        <v/>
      </c>
      <c r="AM19" s="29" t="str">
        <f>IF(OR(B19="",  'Air Source Heat Pumps'!AU12="-"), "", 'Air Source Heat Pumps'!AU12)</f>
        <v/>
      </c>
      <c r="AN19" s="29" t="s">
        <v>1010</v>
      </c>
      <c r="AO19" s="45" t="str">
        <f>IF(B19="", "", 'Air Source Heat Pumps'!X12)</f>
        <v/>
      </c>
      <c r="AP19" s="45" t="str">
        <f>IF(B19="", "",'Air Source Heat Pumps'!AA12)</f>
        <v/>
      </c>
      <c r="AQ19" s="45" t="str">
        <f>IF(B19="", "", 'Air Source Heat Pumps'!AA12)</f>
        <v/>
      </c>
      <c r="AR19" s="29" t="s">
        <v>1010</v>
      </c>
      <c r="AS19" s="29" t="str">
        <f>IF(OR(B19="", 'Air Source Heat Pumps'!AQ12="-"), "", 'Air Source Heat Pumps'!AQ12)</f>
        <v/>
      </c>
      <c r="AT19" s="29" t="str">
        <f>IF(OR(B19="", 'Air Source Heat Pumps'!AR12="-"), "", 'Air Source Heat Pumps'!AR12)</f>
        <v/>
      </c>
      <c r="AU19" s="29" t="str">
        <f>IF(OR(B19="", 'Air Source Heat Pumps'!AV12="-"), "", 'Air Source Heat Pumps'!AV12)</f>
        <v/>
      </c>
      <c r="AV19" s="29" t="str">
        <f>IF(OR(B19="", 'Air Source Heat Pumps'!AW12="-"), "", 'Air Source Heat Pumps'!AW12)</f>
        <v/>
      </c>
      <c r="AW19" s="29" t="str">
        <f>IF(B19="", "", 'Air Source Heat Pumps'!AF12)</f>
        <v/>
      </c>
      <c r="AX19" s="29" t="str">
        <f>IF(B19="", "", 'Air Source Heat Pumps'!AF12)</f>
        <v/>
      </c>
      <c r="AY19" s="9" t="str">
        <f>IF(B19="", "", 'Air Source Heat Pumps'!AG12)</f>
        <v/>
      </c>
      <c r="AZ19" s="204" t="str">
        <f>IF(B19="", "", 'Air Source Heat Pumps'!AH12)</f>
        <v/>
      </c>
      <c r="BA19" s="9" t="s">
        <v>1010</v>
      </c>
      <c r="BB19" s="10" t="s">
        <v>1010</v>
      </c>
      <c r="BC19" s="10" t="str">
        <f>IF(B19="", "", 'Air Source Heat Pumps'!AL12)</f>
        <v/>
      </c>
      <c r="BD19" s="30" t="s">
        <v>1010</v>
      </c>
      <c r="BE19" s="30" t="s">
        <v>1010</v>
      </c>
      <c r="BF19" s="30" t="s">
        <v>1010</v>
      </c>
      <c r="BG19" s="5" t="s">
        <v>1010</v>
      </c>
      <c r="BH19" s="204" t="s">
        <v>1010</v>
      </c>
      <c r="BI19" s="204" t="s">
        <v>1010</v>
      </c>
      <c r="BJ19" s="9" t="s">
        <v>1010</v>
      </c>
      <c r="BK19" s="44" t="s">
        <v>1010</v>
      </c>
      <c r="BL19" s="44" t="s">
        <v>1010</v>
      </c>
      <c r="BM19" s="205" t="s">
        <v>1010</v>
      </c>
      <c r="BN19" s="205" t="s">
        <v>1010</v>
      </c>
      <c r="BO19" s="205" t="s">
        <v>1010</v>
      </c>
      <c r="BP19" s="204" t="str">
        <f>IF(B19="", "", 'Air Source Heat Pumps'!$F$38)</f>
        <v/>
      </c>
      <c r="BQ19" s="205" t="str">
        <f>IF(B19="", "", 'Air Source Heat Pumps'!AY12)</f>
        <v/>
      </c>
      <c r="BR19" s="205" t="str">
        <f>IF(B19="", "", 'Air Source Heat Pumps'!AY12)</f>
        <v/>
      </c>
      <c r="BS19" s="205" t="str">
        <f>IF(B19="", "", 'Air Source Heat Pumps'!AZ12)</f>
        <v/>
      </c>
      <c r="BT19" s="44" t="str">
        <f>IF(B19="", "", 'Air Source Heat Pumps'!BA12)</f>
        <v/>
      </c>
      <c r="BU19" s="44" t="str">
        <f>IF(B19="", "", 'Air Source Heat Pumps'!BB12)</f>
        <v/>
      </c>
      <c r="BV19" s="10" t="str">
        <f>IF(B19="", "", 'Air Source Heat Pumps'!BC12)</f>
        <v/>
      </c>
    </row>
    <row r="20" spans="1:74">
      <c r="A20" s="9" t="str">
        <f>IF(B20="", "", 19)</f>
        <v/>
      </c>
      <c r="B20" s="42" t="str">
        <f>IF(OR('Air Source Heat Pumps'!D13="", 'Air Source Heat Pumps'!S13="", 'Air Source Heat Pumps'!BE13="No"), "", 'Air Source Heat Pumps'!BF13)</f>
        <v/>
      </c>
      <c r="C20" s="9" t="str">
        <f>IF(B20="", "", 'Project Summary'!$C$7)</f>
        <v/>
      </c>
      <c r="D20" s="9" t="str">
        <f>IF(B20="", "", CONCATENATE('Project Summary'!$C$4, " - ", 'Project Summary'!$C$7))</f>
        <v/>
      </c>
      <c r="E20" s="6" t="str">
        <f t="shared" si="0"/>
        <v/>
      </c>
      <c r="F20" s="9" t="str">
        <f>IF(B20="", "", 'Project Summary'!$C$8)</f>
        <v/>
      </c>
      <c r="G20" s="9" t="str">
        <f>IF(B20="", "", 'Air Source Heat Pumps'!BH13)</f>
        <v/>
      </c>
      <c r="H20" s="9" t="str">
        <f t="shared" si="2"/>
        <v/>
      </c>
      <c r="I20" s="10" t="str">
        <f>IF(B20="", "", 'Lookup Tables'!$C$2)</f>
        <v/>
      </c>
      <c r="J20" s="9" t="str">
        <f>IF(B20="", "", 'Air Source Heat Pumps'!D13)</f>
        <v/>
      </c>
      <c r="K20" s="9" t="str">
        <f>IF(B20="", "", 'Air Source Heat Pumps'!R13)</f>
        <v/>
      </c>
      <c r="L20" s="204" t="str">
        <f>IF(B20="", "", 'Air Source Heat Pumps'!BG13)</f>
        <v/>
      </c>
      <c r="M20" s="204" t="str">
        <f>IF(B20="", "", 'Air Source Heat Pumps'!C13)</f>
        <v/>
      </c>
      <c r="N20" s="9" t="str">
        <f>IF(B20="", "", 'Air Source Heat Pumps'!C13)</f>
        <v/>
      </c>
      <c r="O20" s="9" t="str">
        <f>IF(B20="", "", 'Air Source Heat Pumps'!E13)</f>
        <v/>
      </c>
      <c r="P20" s="9" t="str">
        <f>IF(B20="", "", 'Air Source Heat Pumps'!P13)</f>
        <v/>
      </c>
      <c r="Q20" s="9" t="str">
        <f>IF(B20="", "", 'Air Source Heat Pumps'!Q13)</f>
        <v/>
      </c>
      <c r="R20" s="9" t="str">
        <f>IF(B20="", "", 'Air Source Heat Pumps'!S13)</f>
        <v/>
      </c>
      <c r="S20" s="9" t="str">
        <f>IF(B20="", "", 'Air Source Heat Pumps'!AB13)</f>
        <v/>
      </c>
      <c r="T20" s="9" t="str">
        <f>IF(B20="", "", 'Air Source Heat Pumps'!N13)</f>
        <v/>
      </c>
      <c r="U20" s="9" t="str">
        <f>IF(B20="", "", 'Air Source Heat Pumps'!O13)</f>
        <v/>
      </c>
      <c r="V20" s="9" t="s">
        <v>1010</v>
      </c>
      <c r="W20" s="9" t="s">
        <v>1010</v>
      </c>
      <c r="X20" s="9" t="s">
        <v>1010</v>
      </c>
      <c r="Y20" s="202" t="str">
        <f>IF(OR(B20="",'Air Source Heat Pumps'!H13=""), "", 'Air Source Heat Pumps'!H13)</f>
        <v/>
      </c>
      <c r="Z20" s="29" t="str">
        <f>IF(OR(B20="", 'Air Source Heat Pumps'!AN13="-"), "", 'Air Source Heat Pumps'!AN13)</f>
        <v/>
      </c>
      <c r="AA20" s="29" t="str">
        <f>IF(B20="", "", 'Air Source Heat Pumps'!AO13)</f>
        <v/>
      </c>
      <c r="AB20" s="29" t="s">
        <v>1010</v>
      </c>
      <c r="AC20" s="29" t="str">
        <f>IF(OR(B20="", 'Air Source Heat Pumps'!AS13="-"), "", 'Air Source Heat Pumps'!AS13)</f>
        <v/>
      </c>
      <c r="AD20" s="29" t="str">
        <f>IF(OR(B20="", 'Air Source Heat Pumps'!AT13="-"), "", 'Air Source Heat Pumps'!AT13)</f>
        <v/>
      </c>
      <c r="AE20" s="29" t="s">
        <v>1010</v>
      </c>
      <c r="AF20" s="29" t="str">
        <f>IF(B20="", "", 'Air Source Heat Pumps'!X13)</f>
        <v/>
      </c>
      <c r="AG20" s="29" t="str">
        <f>IF(B20="", "", 'Air Source Heat Pumps'!X13)</f>
        <v/>
      </c>
      <c r="AH20" s="29" t="s">
        <v>1010</v>
      </c>
      <c r="AI20" s="29" t="str">
        <f>IF(OR(B20="", 'Air Source Heat Pumps'!AN13="-"), "", 'Air Source Heat Pumps'!AN13)</f>
        <v/>
      </c>
      <c r="AJ20" s="29" t="str">
        <f>IF(B20="", "", 'Air Source Heat Pumps'!AA13)</f>
        <v/>
      </c>
      <c r="AK20" s="29" t="s">
        <v>1010</v>
      </c>
      <c r="AL20" s="29" t="str">
        <f>IF(OR(B20="", 'Air Source Heat Pumps'!AS13="-"), "", 'Air Source Heat Pumps'!AS13)</f>
        <v/>
      </c>
      <c r="AM20" s="29" t="str">
        <f>IF(OR(B20="",  'Air Source Heat Pumps'!AU13="-"), "", 'Air Source Heat Pumps'!AU13)</f>
        <v/>
      </c>
      <c r="AN20" s="29" t="s">
        <v>1010</v>
      </c>
      <c r="AO20" s="45" t="str">
        <f>IF(B20="", "", 'Air Source Heat Pumps'!X13)</f>
        <v/>
      </c>
      <c r="AP20" s="45" t="str">
        <f>IF(B20="", "",'Air Source Heat Pumps'!AA13)</f>
        <v/>
      </c>
      <c r="AQ20" s="45" t="str">
        <f>IF(B20="", "", 'Air Source Heat Pumps'!AA13)</f>
        <v/>
      </c>
      <c r="AR20" s="29" t="s">
        <v>1010</v>
      </c>
      <c r="AS20" s="29" t="str">
        <f>IF(OR(B20="", 'Air Source Heat Pumps'!AQ13="-"), "", 'Air Source Heat Pumps'!AQ13)</f>
        <v/>
      </c>
      <c r="AT20" s="29" t="str">
        <f>IF(OR(B20="", 'Air Source Heat Pumps'!AR13="-"), "", 'Air Source Heat Pumps'!AR13)</f>
        <v/>
      </c>
      <c r="AU20" s="29" t="str">
        <f>IF(OR(B20="", 'Air Source Heat Pumps'!AV13="-"), "", 'Air Source Heat Pumps'!AV13)</f>
        <v/>
      </c>
      <c r="AV20" s="29" t="str">
        <f>IF(OR(B20="", 'Air Source Heat Pumps'!AW13="-"), "", 'Air Source Heat Pumps'!AW13)</f>
        <v/>
      </c>
      <c r="AW20" s="29" t="str">
        <f>IF(B20="", "", 'Air Source Heat Pumps'!AF13)</f>
        <v/>
      </c>
      <c r="AX20" s="29" t="str">
        <f>IF(B20="", "", 'Air Source Heat Pumps'!AF13)</f>
        <v/>
      </c>
      <c r="AY20" s="9" t="str">
        <f>IF(B20="", "", 'Air Source Heat Pumps'!AG13)</f>
        <v/>
      </c>
      <c r="AZ20" s="204" t="str">
        <f>IF(B20="", "", 'Air Source Heat Pumps'!AH13)</f>
        <v/>
      </c>
      <c r="BA20" s="9" t="s">
        <v>1010</v>
      </c>
      <c r="BB20" s="10" t="s">
        <v>1010</v>
      </c>
      <c r="BC20" s="10" t="str">
        <f>IF(B20="", "", 'Air Source Heat Pumps'!AL13)</f>
        <v/>
      </c>
      <c r="BD20" s="30" t="s">
        <v>1010</v>
      </c>
      <c r="BE20" s="30" t="s">
        <v>1010</v>
      </c>
      <c r="BF20" s="30" t="s">
        <v>1010</v>
      </c>
      <c r="BG20" s="5" t="s">
        <v>1010</v>
      </c>
      <c r="BH20" s="204" t="s">
        <v>1010</v>
      </c>
      <c r="BI20" s="204" t="s">
        <v>1010</v>
      </c>
      <c r="BJ20" s="9" t="s">
        <v>1010</v>
      </c>
      <c r="BK20" s="44" t="s">
        <v>1010</v>
      </c>
      <c r="BL20" s="44" t="s">
        <v>1010</v>
      </c>
      <c r="BM20" s="205" t="s">
        <v>1010</v>
      </c>
      <c r="BN20" s="205" t="s">
        <v>1010</v>
      </c>
      <c r="BO20" s="205" t="s">
        <v>1010</v>
      </c>
      <c r="BP20" s="204" t="str">
        <f>IF(B20="", "", 'Air Source Heat Pumps'!$F$38)</f>
        <v/>
      </c>
      <c r="BQ20" s="205" t="str">
        <f>IF(B20="", "", 'Air Source Heat Pumps'!AY13)</f>
        <v/>
      </c>
      <c r="BR20" s="205" t="str">
        <f>IF(B20="", "", 'Air Source Heat Pumps'!AY13)</f>
        <v/>
      </c>
      <c r="BS20" s="205" t="str">
        <f>IF(B20="", "", 'Air Source Heat Pumps'!AZ13)</f>
        <v/>
      </c>
      <c r="BT20" s="44" t="str">
        <f>IF(B20="", "", 'Air Source Heat Pumps'!BA13)</f>
        <v/>
      </c>
      <c r="BU20" s="44" t="str">
        <f>IF(B20="", "", 'Air Source Heat Pumps'!BB13)</f>
        <v/>
      </c>
      <c r="BV20" s="10" t="str">
        <f>IF(B20="", "", 'Air Source Heat Pumps'!BC13)</f>
        <v/>
      </c>
    </row>
    <row r="21" spans="1:74">
      <c r="A21" s="9" t="str">
        <f>IF(B21="", "", 20)</f>
        <v/>
      </c>
      <c r="B21" s="42" t="str">
        <f>IF(OR('Air Source Heat Pumps'!D14="", 'Air Source Heat Pumps'!S14="", 'Air Source Heat Pumps'!BE14="No"), "", 'Air Source Heat Pumps'!BF14)</f>
        <v/>
      </c>
      <c r="C21" s="9" t="str">
        <f>IF(B21="", "", 'Project Summary'!$C$7)</f>
        <v/>
      </c>
      <c r="D21" s="9" t="str">
        <f>IF(B21="", "", CONCATENATE('Project Summary'!$C$4, " - ", 'Project Summary'!$C$7))</f>
        <v/>
      </c>
      <c r="E21" s="6" t="str">
        <f t="shared" si="0"/>
        <v/>
      </c>
      <c r="F21" s="9" t="str">
        <f>IF(B21="", "", 'Project Summary'!$C$8)</f>
        <v/>
      </c>
      <c r="G21" s="9" t="str">
        <f>IF(B21="", "", 'Air Source Heat Pumps'!BH14)</f>
        <v/>
      </c>
      <c r="H21" s="9" t="str">
        <f t="shared" si="2"/>
        <v/>
      </c>
      <c r="I21" s="10" t="str">
        <f>IF(B21="", "", 'Lookup Tables'!$C$2)</f>
        <v/>
      </c>
      <c r="J21" s="9" t="str">
        <f>IF(B21="", "", 'Air Source Heat Pumps'!D14)</f>
        <v/>
      </c>
      <c r="K21" s="9" t="str">
        <f>IF(B21="", "", 'Air Source Heat Pumps'!R14)</f>
        <v/>
      </c>
      <c r="L21" s="204" t="str">
        <f>IF(B21="", "", 'Air Source Heat Pumps'!BG14)</f>
        <v/>
      </c>
      <c r="M21" s="204" t="str">
        <f>IF(B21="", "", 'Air Source Heat Pumps'!C14)</f>
        <v/>
      </c>
      <c r="N21" s="9" t="str">
        <f>IF(B21="", "", 'Air Source Heat Pumps'!C14)</f>
        <v/>
      </c>
      <c r="O21" s="9" t="str">
        <f>IF(B21="", "", 'Air Source Heat Pumps'!E14)</f>
        <v/>
      </c>
      <c r="P21" s="9" t="str">
        <f>IF(B21="", "", 'Air Source Heat Pumps'!P14)</f>
        <v/>
      </c>
      <c r="Q21" s="9" t="str">
        <f>IF(B21="", "", 'Air Source Heat Pumps'!Q14)</f>
        <v/>
      </c>
      <c r="R21" s="9" t="str">
        <f>IF(B21="", "", 'Air Source Heat Pumps'!S14)</f>
        <v/>
      </c>
      <c r="S21" s="9" t="str">
        <f>IF(B21="", "", 'Air Source Heat Pumps'!AB14)</f>
        <v/>
      </c>
      <c r="T21" s="9" t="str">
        <f>IF(B21="", "", 'Air Source Heat Pumps'!N14)</f>
        <v/>
      </c>
      <c r="U21" s="9" t="str">
        <f>IF(B21="", "", 'Air Source Heat Pumps'!O14)</f>
        <v/>
      </c>
      <c r="V21" s="9" t="s">
        <v>1010</v>
      </c>
      <c r="W21" s="9" t="s">
        <v>1010</v>
      </c>
      <c r="X21" s="9" t="s">
        <v>1010</v>
      </c>
      <c r="Y21" s="202" t="str">
        <f>IF(OR(B21="",'Air Source Heat Pumps'!H14=""), "", 'Air Source Heat Pumps'!H14)</f>
        <v/>
      </c>
      <c r="Z21" s="29" t="str">
        <f>IF(OR(B21="", 'Air Source Heat Pumps'!AN14="-"), "", 'Air Source Heat Pumps'!AN14)</f>
        <v/>
      </c>
      <c r="AA21" s="29" t="str">
        <f>IF(B21="", "", 'Air Source Heat Pumps'!AO14)</f>
        <v/>
      </c>
      <c r="AB21" s="29" t="s">
        <v>1010</v>
      </c>
      <c r="AC21" s="29" t="str">
        <f>IF(OR(B21="", 'Air Source Heat Pumps'!AS14="-"), "", 'Air Source Heat Pumps'!AS14)</f>
        <v/>
      </c>
      <c r="AD21" s="29" t="str">
        <f>IF(OR(B21="", 'Air Source Heat Pumps'!AT14="-"), "", 'Air Source Heat Pumps'!AT14)</f>
        <v/>
      </c>
      <c r="AE21" s="29" t="s">
        <v>1010</v>
      </c>
      <c r="AF21" s="29" t="str">
        <f>IF(B21="", "", 'Air Source Heat Pumps'!X14)</f>
        <v/>
      </c>
      <c r="AG21" s="29" t="str">
        <f>IF(B21="", "", 'Air Source Heat Pumps'!X14)</f>
        <v/>
      </c>
      <c r="AH21" s="29" t="s">
        <v>1010</v>
      </c>
      <c r="AI21" s="29" t="str">
        <f>IF(OR(B21="", 'Air Source Heat Pumps'!AN14="-"), "", 'Air Source Heat Pumps'!AN14)</f>
        <v/>
      </c>
      <c r="AJ21" s="29" t="str">
        <f>IF(B21="", "", 'Air Source Heat Pumps'!AA14)</f>
        <v/>
      </c>
      <c r="AK21" s="29" t="s">
        <v>1010</v>
      </c>
      <c r="AL21" s="29" t="str">
        <f>IF(OR(B21="", 'Air Source Heat Pumps'!AS14="-"), "", 'Air Source Heat Pumps'!AS14)</f>
        <v/>
      </c>
      <c r="AM21" s="29" t="str">
        <f>IF(OR(B21="",  'Air Source Heat Pumps'!AU14="-"), "", 'Air Source Heat Pumps'!AU14)</f>
        <v/>
      </c>
      <c r="AN21" s="29" t="s">
        <v>1010</v>
      </c>
      <c r="AO21" s="45" t="str">
        <f>IF(B21="", "", 'Air Source Heat Pumps'!X14)</f>
        <v/>
      </c>
      <c r="AP21" s="45" t="str">
        <f>IF(B21="", "",'Air Source Heat Pumps'!AA14)</f>
        <v/>
      </c>
      <c r="AQ21" s="45" t="str">
        <f>IF(B21="", "", 'Air Source Heat Pumps'!AA14)</f>
        <v/>
      </c>
      <c r="AR21" s="29" t="s">
        <v>1010</v>
      </c>
      <c r="AS21" s="29" t="str">
        <f>IF(OR(B21="", 'Air Source Heat Pumps'!AQ14="-"), "", 'Air Source Heat Pumps'!AQ14)</f>
        <v/>
      </c>
      <c r="AT21" s="29" t="str">
        <f>IF(OR(B21="", 'Air Source Heat Pumps'!AR14="-"), "", 'Air Source Heat Pumps'!AR14)</f>
        <v/>
      </c>
      <c r="AU21" s="29" t="str">
        <f>IF(OR(B21="", 'Air Source Heat Pumps'!AV14="-"), "", 'Air Source Heat Pumps'!AV14)</f>
        <v/>
      </c>
      <c r="AV21" s="29" t="str">
        <f>IF(OR(B21="", 'Air Source Heat Pumps'!AW14="-"), "", 'Air Source Heat Pumps'!AW14)</f>
        <v/>
      </c>
      <c r="AW21" s="29" t="str">
        <f>IF(B21="", "", 'Air Source Heat Pumps'!AF14)</f>
        <v/>
      </c>
      <c r="AX21" s="29" t="str">
        <f>IF(B21="", "", 'Air Source Heat Pumps'!AF14)</f>
        <v/>
      </c>
      <c r="AY21" s="9" t="str">
        <f>IF(B21="", "", 'Air Source Heat Pumps'!AG14)</f>
        <v/>
      </c>
      <c r="AZ21" s="204" t="str">
        <f>IF(B21="", "", 'Air Source Heat Pumps'!AH14)</f>
        <v/>
      </c>
      <c r="BA21" s="9" t="s">
        <v>1010</v>
      </c>
      <c r="BB21" s="10" t="s">
        <v>1010</v>
      </c>
      <c r="BC21" s="10" t="str">
        <f>IF(B21="", "", 'Air Source Heat Pumps'!AL14)</f>
        <v/>
      </c>
      <c r="BD21" s="30" t="s">
        <v>1010</v>
      </c>
      <c r="BE21" s="30" t="s">
        <v>1010</v>
      </c>
      <c r="BF21" s="30" t="s">
        <v>1010</v>
      </c>
      <c r="BG21" s="5" t="s">
        <v>1010</v>
      </c>
      <c r="BH21" s="204" t="s">
        <v>1010</v>
      </c>
      <c r="BI21" s="204" t="s">
        <v>1010</v>
      </c>
      <c r="BJ21" s="9" t="s">
        <v>1010</v>
      </c>
      <c r="BK21" s="44" t="s">
        <v>1010</v>
      </c>
      <c r="BL21" s="44" t="s">
        <v>1010</v>
      </c>
      <c r="BM21" s="205" t="s">
        <v>1010</v>
      </c>
      <c r="BN21" s="205" t="s">
        <v>1010</v>
      </c>
      <c r="BO21" s="205" t="s">
        <v>1010</v>
      </c>
      <c r="BP21" s="204" t="str">
        <f>IF(B21="", "", 'Air Source Heat Pumps'!$F$38)</f>
        <v/>
      </c>
      <c r="BQ21" s="205" t="str">
        <f>IF(B21="", "", 'Air Source Heat Pumps'!AY14)</f>
        <v/>
      </c>
      <c r="BR21" s="205" t="str">
        <f>IF(B21="", "", 'Air Source Heat Pumps'!AY14)</f>
        <v/>
      </c>
      <c r="BS21" s="205" t="str">
        <f>IF(B21="", "", 'Air Source Heat Pumps'!AZ14)</f>
        <v/>
      </c>
      <c r="BT21" s="44" t="str">
        <f>IF(B21="", "", 'Air Source Heat Pumps'!BA14)</f>
        <v/>
      </c>
      <c r="BU21" s="44" t="str">
        <f>IF(B21="", "", 'Air Source Heat Pumps'!BB14)</f>
        <v/>
      </c>
      <c r="BV21" s="10" t="str">
        <f>IF(B21="", "", 'Air Source Heat Pumps'!BC14)</f>
        <v/>
      </c>
    </row>
    <row r="22" spans="1:74">
      <c r="A22" s="9" t="str">
        <f>IF(B22="", "", 21)</f>
        <v/>
      </c>
      <c r="B22" s="42" t="str">
        <f>IF(OR('Air Source Heat Pumps'!D15="", 'Air Source Heat Pumps'!S15="", 'Air Source Heat Pumps'!BE15="No"), "", 'Air Source Heat Pumps'!BF15)</f>
        <v/>
      </c>
      <c r="C22" s="9" t="str">
        <f>IF(B22="", "", 'Project Summary'!$C$7)</f>
        <v/>
      </c>
      <c r="D22" s="9" t="str">
        <f>IF(B22="", "", CONCATENATE('Project Summary'!$C$4, " - ", 'Project Summary'!$C$7))</f>
        <v/>
      </c>
      <c r="E22" s="6" t="str">
        <f t="shared" si="0"/>
        <v/>
      </c>
      <c r="F22" s="9" t="str">
        <f>IF(B22="", "", 'Project Summary'!$C$8)</f>
        <v/>
      </c>
      <c r="G22" s="9" t="str">
        <f>IF(B22="", "", 'Air Source Heat Pumps'!BH15)</f>
        <v/>
      </c>
      <c r="H22" s="9" t="str">
        <f t="shared" si="2"/>
        <v/>
      </c>
      <c r="I22" s="10" t="str">
        <f>IF(B22="", "", 'Lookup Tables'!$C$2)</f>
        <v/>
      </c>
      <c r="J22" s="9" t="str">
        <f>IF(B22="", "", 'Air Source Heat Pumps'!D15)</f>
        <v/>
      </c>
      <c r="K22" s="9" t="str">
        <f>IF(B22="", "", 'Air Source Heat Pumps'!R15)</f>
        <v/>
      </c>
      <c r="L22" s="204" t="str">
        <f>IF(B22="", "", 'Air Source Heat Pumps'!BG15)</f>
        <v/>
      </c>
      <c r="M22" s="204" t="str">
        <f>IF(B22="", "", 'Air Source Heat Pumps'!C15)</f>
        <v/>
      </c>
      <c r="N22" s="9" t="str">
        <f>IF(B22="", "", 'Air Source Heat Pumps'!C15)</f>
        <v/>
      </c>
      <c r="O22" s="9" t="str">
        <f>IF(B22="", "", 'Air Source Heat Pumps'!E15)</f>
        <v/>
      </c>
      <c r="P22" s="9" t="str">
        <f>IF(B22="", "", 'Air Source Heat Pumps'!P15)</f>
        <v/>
      </c>
      <c r="Q22" s="9" t="str">
        <f>IF(B22="", "", 'Air Source Heat Pumps'!Q15)</f>
        <v/>
      </c>
      <c r="R22" s="9" t="str">
        <f>IF(B22="", "", 'Air Source Heat Pumps'!S15)</f>
        <v/>
      </c>
      <c r="S22" s="9" t="str">
        <f>IF(B22="", "", 'Air Source Heat Pumps'!AB15)</f>
        <v/>
      </c>
      <c r="T22" s="9" t="str">
        <f>IF(B22="", "", 'Air Source Heat Pumps'!N15)</f>
        <v/>
      </c>
      <c r="U22" s="9" t="str">
        <f>IF(B22="", "", 'Air Source Heat Pumps'!O15)</f>
        <v/>
      </c>
      <c r="V22" s="9" t="s">
        <v>1010</v>
      </c>
      <c r="W22" s="9" t="s">
        <v>1010</v>
      </c>
      <c r="X22" s="9" t="s">
        <v>1010</v>
      </c>
      <c r="Y22" s="202" t="str">
        <f>IF(OR(B22="",'Air Source Heat Pumps'!H15=""), "", 'Air Source Heat Pumps'!H15)</f>
        <v/>
      </c>
      <c r="Z22" s="29" t="str">
        <f>IF(OR(B22="", 'Air Source Heat Pumps'!AN15="-"), "", 'Air Source Heat Pumps'!AN15)</f>
        <v/>
      </c>
      <c r="AA22" s="29" t="str">
        <f>IF(B22="", "", 'Air Source Heat Pumps'!AO15)</f>
        <v/>
      </c>
      <c r="AB22" s="29" t="s">
        <v>1010</v>
      </c>
      <c r="AC22" s="29" t="str">
        <f>IF(OR(B22="", 'Air Source Heat Pumps'!AS15="-"), "", 'Air Source Heat Pumps'!AS15)</f>
        <v/>
      </c>
      <c r="AD22" s="29" t="str">
        <f>IF(OR(B22="", 'Air Source Heat Pumps'!AT15="-"), "", 'Air Source Heat Pumps'!AT15)</f>
        <v/>
      </c>
      <c r="AE22" s="29" t="s">
        <v>1010</v>
      </c>
      <c r="AF22" s="29" t="str">
        <f>IF(B22="", "", 'Air Source Heat Pumps'!X15)</f>
        <v/>
      </c>
      <c r="AG22" s="29" t="str">
        <f>IF(B22="", "", 'Air Source Heat Pumps'!X15)</f>
        <v/>
      </c>
      <c r="AH22" s="29" t="s">
        <v>1010</v>
      </c>
      <c r="AI22" s="29" t="str">
        <f>IF(OR(B22="", 'Air Source Heat Pumps'!AN15="-"), "", 'Air Source Heat Pumps'!AN15)</f>
        <v/>
      </c>
      <c r="AJ22" s="29" t="str">
        <f>IF(B22="", "", 'Air Source Heat Pumps'!AA15)</f>
        <v/>
      </c>
      <c r="AK22" s="29" t="s">
        <v>1010</v>
      </c>
      <c r="AL22" s="29" t="str">
        <f>IF(OR(B22="", 'Air Source Heat Pumps'!AS15="-"), "", 'Air Source Heat Pumps'!AS15)</f>
        <v/>
      </c>
      <c r="AM22" s="29" t="str">
        <f>IF(OR(B22="",  'Air Source Heat Pumps'!AU15="-"), "", 'Air Source Heat Pumps'!AU15)</f>
        <v/>
      </c>
      <c r="AN22" s="29" t="s">
        <v>1010</v>
      </c>
      <c r="AO22" s="45" t="str">
        <f>IF(B22="", "", 'Air Source Heat Pumps'!X15)</f>
        <v/>
      </c>
      <c r="AP22" s="45" t="str">
        <f>IF(B22="", "",'Air Source Heat Pumps'!AA15)</f>
        <v/>
      </c>
      <c r="AQ22" s="45" t="str">
        <f>IF(B22="", "", 'Air Source Heat Pumps'!AA15)</f>
        <v/>
      </c>
      <c r="AR22" s="29" t="s">
        <v>1010</v>
      </c>
      <c r="AS22" s="29" t="str">
        <f>IF(OR(B22="", 'Air Source Heat Pumps'!AQ15="-"), "", 'Air Source Heat Pumps'!AQ15)</f>
        <v/>
      </c>
      <c r="AT22" s="29" t="str">
        <f>IF(OR(B22="", 'Air Source Heat Pumps'!AR15="-"), "", 'Air Source Heat Pumps'!AR15)</f>
        <v/>
      </c>
      <c r="AU22" s="29" t="str">
        <f>IF(OR(B22="", 'Air Source Heat Pumps'!AV15="-"), "", 'Air Source Heat Pumps'!AV15)</f>
        <v/>
      </c>
      <c r="AV22" s="29" t="str">
        <f>IF(OR(B22="", 'Air Source Heat Pumps'!AW15="-"), "", 'Air Source Heat Pumps'!AW15)</f>
        <v/>
      </c>
      <c r="AW22" s="29" t="str">
        <f>IF(B22="", "", 'Air Source Heat Pumps'!AF15)</f>
        <v/>
      </c>
      <c r="AX22" s="29" t="str">
        <f>IF(B22="", "", 'Air Source Heat Pumps'!AF15)</f>
        <v/>
      </c>
      <c r="AY22" s="9" t="str">
        <f>IF(B22="", "", 'Air Source Heat Pumps'!AG15)</f>
        <v/>
      </c>
      <c r="AZ22" s="204" t="str">
        <f>IF(B22="", "", 'Air Source Heat Pumps'!AH15)</f>
        <v/>
      </c>
      <c r="BA22" s="9" t="s">
        <v>1010</v>
      </c>
      <c r="BB22" s="10" t="s">
        <v>1010</v>
      </c>
      <c r="BC22" s="10" t="str">
        <f>IF(B22="", "", 'Air Source Heat Pumps'!AL15)</f>
        <v/>
      </c>
      <c r="BD22" s="30" t="s">
        <v>1010</v>
      </c>
      <c r="BE22" s="30" t="s">
        <v>1010</v>
      </c>
      <c r="BF22" s="30" t="s">
        <v>1010</v>
      </c>
      <c r="BG22" s="5" t="s">
        <v>1010</v>
      </c>
      <c r="BH22" s="204" t="s">
        <v>1010</v>
      </c>
      <c r="BI22" s="204" t="s">
        <v>1010</v>
      </c>
      <c r="BJ22" s="9" t="s">
        <v>1010</v>
      </c>
      <c r="BK22" s="44" t="s">
        <v>1010</v>
      </c>
      <c r="BL22" s="44" t="s">
        <v>1010</v>
      </c>
      <c r="BM22" s="205" t="s">
        <v>1010</v>
      </c>
      <c r="BN22" s="205" t="s">
        <v>1010</v>
      </c>
      <c r="BO22" s="205" t="s">
        <v>1010</v>
      </c>
      <c r="BP22" s="204" t="str">
        <f>IF(B22="", "", 'Air Source Heat Pumps'!$F$38)</f>
        <v/>
      </c>
      <c r="BQ22" s="205" t="str">
        <f>IF(B22="", "", 'Air Source Heat Pumps'!AY15)</f>
        <v/>
      </c>
      <c r="BR22" s="205" t="str">
        <f>IF(B22="", "", 'Air Source Heat Pumps'!AY15)</f>
        <v/>
      </c>
      <c r="BS22" s="205" t="str">
        <f>IF(B22="", "", 'Air Source Heat Pumps'!AZ15)</f>
        <v/>
      </c>
      <c r="BT22" s="44" t="str">
        <f>IF(B22="", "", 'Air Source Heat Pumps'!BA15)</f>
        <v/>
      </c>
      <c r="BU22" s="44" t="str">
        <f>IF(B22="", "", 'Air Source Heat Pumps'!BB15)</f>
        <v/>
      </c>
      <c r="BV22" s="10" t="str">
        <f>IF(B22="", "", 'Air Source Heat Pumps'!BC15)</f>
        <v/>
      </c>
    </row>
    <row r="23" spans="1:74">
      <c r="A23" s="9" t="str">
        <f>IF(B23="", "", 22)</f>
        <v/>
      </c>
      <c r="B23" s="42" t="str">
        <f>IF(OR('Air Source Heat Pumps'!D16="", 'Air Source Heat Pumps'!S16="", 'Air Source Heat Pumps'!BE16="No"), "", 'Air Source Heat Pumps'!BF16)</f>
        <v/>
      </c>
      <c r="C23" s="9" t="str">
        <f>IF(B23="", "", 'Project Summary'!$C$7)</f>
        <v/>
      </c>
      <c r="D23" s="9" t="str">
        <f>IF(B23="", "", CONCATENATE('Project Summary'!$C$4, " - ", 'Project Summary'!$C$7))</f>
        <v/>
      </c>
      <c r="E23" s="6" t="str">
        <f t="shared" si="0"/>
        <v/>
      </c>
      <c r="F23" s="9" t="str">
        <f>IF(B23="", "", 'Project Summary'!$C$8)</f>
        <v/>
      </c>
      <c r="G23" s="9" t="str">
        <f>IF(B23="", "", 'Air Source Heat Pumps'!BH16)</f>
        <v/>
      </c>
      <c r="H23" s="9" t="str">
        <f t="shared" si="2"/>
        <v/>
      </c>
      <c r="I23" s="10" t="str">
        <f>IF(B23="", "", 'Lookup Tables'!$C$2)</f>
        <v/>
      </c>
      <c r="J23" s="9" t="str">
        <f>IF(B23="", "", 'Air Source Heat Pumps'!D16)</f>
        <v/>
      </c>
      <c r="K23" s="9" t="str">
        <f>IF(B23="", "", 'Air Source Heat Pumps'!R16)</f>
        <v/>
      </c>
      <c r="L23" s="204" t="str">
        <f>IF(B23="", "", 'Air Source Heat Pumps'!BG16)</f>
        <v/>
      </c>
      <c r="M23" s="204" t="str">
        <f>IF(B23="", "", 'Air Source Heat Pumps'!C16)</f>
        <v/>
      </c>
      <c r="N23" s="9" t="str">
        <f>IF(B23="", "", 'Air Source Heat Pumps'!C16)</f>
        <v/>
      </c>
      <c r="O23" s="9" t="str">
        <f>IF(B23="", "", 'Air Source Heat Pumps'!E16)</f>
        <v/>
      </c>
      <c r="P23" s="9" t="str">
        <f>IF(B23="", "", 'Air Source Heat Pumps'!P16)</f>
        <v/>
      </c>
      <c r="Q23" s="9" t="str">
        <f>IF(B23="", "", 'Air Source Heat Pumps'!Q16)</f>
        <v/>
      </c>
      <c r="R23" s="9" t="str">
        <f>IF(B23="", "", 'Air Source Heat Pumps'!S16)</f>
        <v/>
      </c>
      <c r="S23" s="9" t="str">
        <f>IF(B23="", "", 'Air Source Heat Pumps'!AB16)</f>
        <v/>
      </c>
      <c r="T23" s="9" t="str">
        <f>IF(B23="", "", 'Air Source Heat Pumps'!N16)</f>
        <v/>
      </c>
      <c r="U23" s="9" t="str">
        <f>IF(B23="", "", 'Air Source Heat Pumps'!O16)</f>
        <v/>
      </c>
      <c r="V23" s="9" t="s">
        <v>1010</v>
      </c>
      <c r="W23" s="9" t="s">
        <v>1010</v>
      </c>
      <c r="X23" s="9" t="s">
        <v>1010</v>
      </c>
      <c r="Y23" s="202" t="str">
        <f>IF(OR(B23="",'Air Source Heat Pumps'!H16=""), "", 'Air Source Heat Pumps'!H16)</f>
        <v/>
      </c>
      <c r="Z23" s="29" t="str">
        <f>IF(OR(B23="", 'Air Source Heat Pumps'!AN16="-"), "", 'Air Source Heat Pumps'!AN16)</f>
        <v/>
      </c>
      <c r="AA23" s="29" t="str">
        <f>IF(B23="", "", 'Air Source Heat Pumps'!AO16)</f>
        <v/>
      </c>
      <c r="AB23" s="29" t="s">
        <v>1010</v>
      </c>
      <c r="AC23" s="29" t="str">
        <f>IF(OR(B23="", 'Air Source Heat Pumps'!AS16="-"), "", 'Air Source Heat Pumps'!AS16)</f>
        <v/>
      </c>
      <c r="AD23" s="29" t="str">
        <f>IF(OR(B23="", 'Air Source Heat Pumps'!AT16="-"), "", 'Air Source Heat Pumps'!AT16)</f>
        <v/>
      </c>
      <c r="AE23" s="29" t="s">
        <v>1010</v>
      </c>
      <c r="AF23" s="29" t="str">
        <f>IF(B23="", "", 'Air Source Heat Pumps'!X16)</f>
        <v/>
      </c>
      <c r="AG23" s="29" t="str">
        <f>IF(B23="", "", 'Air Source Heat Pumps'!X16)</f>
        <v/>
      </c>
      <c r="AH23" s="29" t="s">
        <v>1010</v>
      </c>
      <c r="AI23" s="29" t="str">
        <f>IF(OR(B23="", 'Air Source Heat Pumps'!AN16="-"), "", 'Air Source Heat Pumps'!AN16)</f>
        <v/>
      </c>
      <c r="AJ23" s="29" t="str">
        <f>IF(B23="", "", 'Air Source Heat Pumps'!AA16)</f>
        <v/>
      </c>
      <c r="AK23" s="29" t="s">
        <v>1010</v>
      </c>
      <c r="AL23" s="29" t="str">
        <f>IF(OR(B23="", 'Air Source Heat Pumps'!AS16="-"), "", 'Air Source Heat Pumps'!AS16)</f>
        <v/>
      </c>
      <c r="AM23" s="29" t="str">
        <f>IF(OR(B23="",  'Air Source Heat Pumps'!AU16="-"), "", 'Air Source Heat Pumps'!AU16)</f>
        <v/>
      </c>
      <c r="AN23" s="29" t="s">
        <v>1010</v>
      </c>
      <c r="AO23" s="45" t="str">
        <f>IF(B23="", "", 'Air Source Heat Pumps'!X16)</f>
        <v/>
      </c>
      <c r="AP23" s="45" t="str">
        <f>IF(B23="", "",'Air Source Heat Pumps'!AA16)</f>
        <v/>
      </c>
      <c r="AQ23" s="45" t="str">
        <f>IF(B23="", "", 'Air Source Heat Pumps'!AA16)</f>
        <v/>
      </c>
      <c r="AR23" s="29" t="s">
        <v>1010</v>
      </c>
      <c r="AS23" s="29" t="str">
        <f>IF(OR(B23="", 'Air Source Heat Pumps'!AQ16="-"), "", 'Air Source Heat Pumps'!AQ16)</f>
        <v/>
      </c>
      <c r="AT23" s="29" t="str">
        <f>IF(OR(B23="", 'Air Source Heat Pumps'!AR16="-"), "", 'Air Source Heat Pumps'!AR16)</f>
        <v/>
      </c>
      <c r="AU23" s="29" t="str">
        <f>IF(OR(B23="", 'Air Source Heat Pumps'!AV16="-"), "", 'Air Source Heat Pumps'!AV16)</f>
        <v/>
      </c>
      <c r="AV23" s="29" t="str">
        <f>IF(OR(B23="", 'Air Source Heat Pumps'!AW16="-"), "", 'Air Source Heat Pumps'!AW16)</f>
        <v/>
      </c>
      <c r="AW23" s="29" t="str">
        <f>IF(B23="", "", 'Air Source Heat Pumps'!AF16)</f>
        <v/>
      </c>
      <c r="AX23" s="29" t="str">
        <f>IF(B23="", "", 'Air Source Heat Pumps'!AF16)</f>
        <v/>
      </c>
      <c r="AY23" s="9" t="str">
        <f>IF(B23="", "", 'Air Source Heat Pumps'!AG16)</f>
        <v/>
      </c>
      <c r="AZ23" s="204" t="str">
        <f>IF(B23="", "", 'Air Source Heat Pumps'!AH16)</f>
        <v/>
      </c>
      <c r="BA23" s="9" t="s">
        <v>1010</v>
      </c>
      <c r="BB23" s="10" t="s">
        <v>1010</v>
      </c>
      <c r="BC23" s="10" t="str">
        <f>IF(B23="", "", 'Air Source Heat Pumps'!AL16)</f>
        <v/>
      </c>
      <c r="BD23" s="30" t="s">
        <v>1010</v>
      </c>
      <c r="BE23" s="30" t="s">
        <v>1010</v>
      </c>
      <c r="BF23" s="30" t="s">
        <v>1010</v>
      </c>
      <c r="BG23" s="5" t="s">
        <v>1010</v>
      </c>
      <c r="BH23" s="204" t="s">
        <v>1010</v>
      </c>
      <c r="BI23" s="204" t="s">
        <v>1010</v>
      </c>
      <c r="BJ23" s="9" t="s">
        <v>1010</v>
      </c>
      <c r="BK23" s="44" t="s">
        <v>1010</v>
      </c>
      <c r="BL23" s="44" t="s">
        <v>1010</v>
      </c>
      <c r="BM23" s="205" t="s">
        <v>1010</v>
      </c>
      <c r="BN23" s="205" t="s">
        <v>1010</v>
      </c>
      <c r="BO23" s="205" t="s">
        <v>1010</v>
      </c>
      <c r="BP23" s="204" t="str">
        <f>IF(B23="", "", 'Air Source Heat Pumps'!$F$38)</f>
        <v/>
      </c>
      <c r="BQ23" s="205" t="str">
        <f>IF(B23="", "", 'Air Source Heat Pumps'!AY16)</f>
        <v/>
      </c>
      <c r="BR23" s="205" t="str">
        <f>IF(B23="", "", 'Air Source Heat Pumps'!AY16)</f>
        <v/>
      </c>
      <c r="BS23" s="205" t="str">
        <f>IF(B23="", "", 'Air Source Heat Pumps'!AZ16)</f>
        <v/>
      </c>
      <c r="BT23" s="44" t="str">
        <f>IF(B23="", "", 'Air Source Heat Pumps'!BA16)</f>
        <v/>
      </c>
      <c r="BU23" s="44" t="str">
        <f>IF(B23="", "", 'Air Source Heat Pumps'!BB16)</f>
        <v/>
      </c>
      <c r="BV23" s="10" t="str">
        <f>IF(B23="", "", 'Air Source Heat Pumps'!BC16)</f>
        <v/>
      </c>
    </row>
    <row r="24" spans="1:74">
      <c r="A24" s="9" t="str">
        <f>IF(B24="", "", 23)</f>
        <v/>
      </c>
      <c r="B24" s="42" t="str">
        <f>IF(OR('Air Source Heat Pumps'!D17="", 'Air Source Heat Pumps'!S17="", 'Air Source Heat Pumps'!BE17="No"), "", 'Air Source Heat Pumps'!BF17)</f>
        <v/>
      </c>
      <c r="C24" s="9" t="str">
        <f>IF(B24="", "", 'Project Summary'!$C$7)</f>
        <v/>
      </c>
      <c r="D24" s="9" t="str">
        <f>IF(B24="", "", CONCATENATE('Project Summary'!$C$4, " - ", 'Project Summary'!$C$7))</f>
        <v/>
      </c>
      <c r="E24" s="6" t="str">
        <f t="shared" si="0"/>
        <v/>
      </c>
      <c r="F24" s="9" t="str">
        <f>IF(B24="", "", 'Project Summary'!$C$8)</f>
        <v/>
      </c>
      <c r="G24" s="9" t="str">
        <f>IF(B24="", "", 'Air Source Heat Pumps'!BH17)</f>
        <v/>
      </c>
      <c r="H24" s="9" t="str">
        <f t="shared" si="2"/>
        <v/>
      </c>
      <c r="I24" s="10" t="str">
        <f>IF(B24="", "", 'Lookup Tables'!$C$2)</f>
        <v/>
      </c>
      <c r="J24" s="9" t="str">
        <f>IF(B24="", "", 'Air Source Heat Pumps'!D17)</f>
        <v/>
      </c>
      <c r="K24" s="9" t="str">
        <f>IF(B24="", "", 'Air Source Heat Pumps'!R17)</f>
        <v/>
      </c>
      <c r="L24" s="204" t="str">
        <f>IF(B24="", "", 'Air Source Heat Pumps'!BG17)</f>
        <v/>
      </c>
      <c r="M24" s="204" t="str">
        <f>IF(B24="", "", 'Air Source Heat Pumps'!C17)</f>
        <v/>
      </c>
      <c r="N24" s="9" t="str">
        <f>IF(B24="", "", 'Air Source Heat Pumps'!C17)</f>
        <v/>
      </c>
      <c r="O24" s="9" t="str">
        <f>IF(B24="", "", 'Air Source Heat Pumps'!E17)</f>
        <v/>
      </c>
      <c r="P24" s="9" t="str">
        <f>IF(B24="", "", 'Air Source Heat Pumps'!P17)</f>
        <v/>
      </c>
      <c r="Q24" s="9" t="str">
        <f>IF(B24="", "", 'Air Source Heat Pumps'!Q17)</f>
        <v/>
      </c>
      <c r="R24" s="9" t="str">
        <f>IF(B24="", "", 'Air Source Heat Pumps'!S17)</f>
        <v/>
      </c>
      <c r="S24" s="9" t="str">
        <f>IF(B24="", "", 'Air Source Heat Pumps'!AB17)</f>
        <v/>
      </c>
      <c r="T24" s="9" t="str">
        <f>IF(B24="", "", 'Air Source Heat Pumps'!N17)</f>
        <v/>
      </c>
      <c r="U24" s="9" t="str">
        <f>IF(B24="", "", 'Air Source Heat Pumps'!O17)</f>
        <v/>
      </c>
      <c r="V24" s="9" t="s">
        <v>1010</v>
      </c>
      <c r="W24" s="9" t="s">
        <v>1010</v>
      </c>
      <c r="X24" s="9" t="s">
        <v>1010</v>
      </c>
      <c r="Y24" s="202" t="str">
        <f>IF(OR(B24="",'Air Source Heat Pumps'!H17=""), "", 'Air Source Heat Pumps'!H17)</f>
        <v/>
      </c>
      <c r="Z24" s="29" t="str">
        <f>IF(OR(B24="", 'Air Source Heat Pumps'!AN17="-"), "", 'Air Source Heat Pumps'!AN17)</f>
        <v/>
      </c>
      <c r="AA24" s="29" t="str">
        <f>IF(B24="", "", 'Air Source Heat Pumps'!AO17)</f>
        <v/>
      </c>
      <c r="AB24" s="29" t="s">
        <v>1010</v>
      </c>
      <c r="AC24" s="29" t="str">
        <f>IF(OR(B24="", 'Air Source Heat Pumps'!AS17="-"), "", 'Air Source Heat Pumps'!AS17)</f>
        <v/>
      </c>
      <c r="AD24" s="29" t="str">
        <f>IF(OR(B24="", 'Air Source Heat Pumps'!AT17="-"), "", 'Air Source Heat Pumps'!AT17)</f>
        <v/>
      </c>
      <c r="AE24" s="29" t="s">
        <v>1010</v>
      </c>
      <c r="AF24" s="29" t="str">
        <f>IF(B24="", "", 'Air Source Heat Pumps'!X17)</f>
        <v/>
      </c>
      <c r="AG24" s="29" t="str">
        <f>IF(B24="", "", 'Air Source Heat Pumps'!X17)</f>
        <v/>
      </c>
      <c r="AH24" s="29" t="s">
        <v>1010</v>
      </c>
      <c r="AI24" s="29" t="str">
        <f>IF(OR(B24="", 'Air Source Heat Pumps'!AN17="-"), "", 'Air Source Heat Pumps'!AN17)</f>
        <v/>
      </c>
      <c r="AJ24" s="29" t="str">
        <f>IF(B24="", "", 'Air Source Heat Pumps'!AA17)</f>
        <v/>
      </c>
      <c r="AK24" s="29" t="s">
        <v>1010</v>
      </c>
      <c r="AL24" s="29" t="str">
        <f>IF(OR(B24="", 'Air Source Heat Pumps'!AS17="-"), "", 'Air Source Heat Pumps'!AS17)</f>
        <v/>
      </c>
      <c r="AM24" s="29" t="str">
        <f>IF(OR(B24="",  'Air Source Heat Pumps'!AU17="-"), "", 'Air Source Heat Pumps'!AU17)</f>
        <v/>
      </c>
      <c r="AN24" s="29" t="s">
        <v>1010</v>
      </c>
      <c r="AO24" s="45" t="str">
        <f>IF(B24="", "", 'Air Source Heat Pumps'!X17)</f>
        <v/>
      </c>
      <c r="AP24" s="45" t="str">
        <f>IF(B24="", "",'Air Source Heat Pumps'!AA17)</f>
        <v/>
      </c>
      <c r="AQ24" s="45" t="str">
        <f>IF(B24="", "", 'Air Source Heat Pumps'!AA17)</f>
        <v/>
      </c>
      <c r="AR24" s="29" t="s">
        <v>1010</v>
      </c>
      <c r="AS24" s="29" t="str">
        <f>IF(OR(B24="", 'Air Source Heat Pumps'!AQ17="-"), "", 'Air Source Heat Pumps'!AQ17)</f>
        <v/>
      </c>
      <c r="AT24" s="29" t="str">
        <f>IF(OR(B24="", 'Air Source Heat Pumps'!AR17="-"), "", 'Air Source Heat Pumps'!AR17)</f>
        <v/>
      </c>
      <c r="AU24" s="29" t="str">
        <f>IF(OR(B24="", 'Air Source Heat Pumps'!AV17="-"), "", 'Air Source Heat Pumps'!AV17)</f>
        <v/>
      </c>
      <c r="AV24" s="29" t="str">
        <f>IF(OR(B24="", 'Air Source Heat Pumps'!AW17="-"), "", 'Air Source Heat Pumps'!AW17)</f>
        <v/>
      </c>
      <c r="AW24" s="29" t="str">
        <f>IF(B24="", "", 'Air Source Heat Pumps'!AF17)</f>
        <v/>
      </c>
      <c r="AX24" s="29" t="str">
        <f>IF(B24="", "", 'Air Source Heat Pumps'!AF17)</f>
        <v/>
      </c>
      <c r="AY24" s="9" t="str">
        <f>IF(B24="", "", 'Air Source Heat Pumps'!AG17)</f>
        <v/>
      </c>
      <c r="AZ24" s="204" t="str">
        <f>IF(B24="", "", 'Air Source Heat Pumps'!AH17)</f>
        <v/>
      </c>
      <c r="BA24" s="9" t="s">
        <v>1010</v>
      </c>
      <c r="BB24" s="10" t="s">
        <v>1010</v>
      </c>
      <c r="BC24" s="10" t="str">
        <f>IF(B24="", "", 'Air Source Heat Pumps'!AL17)</f>
        <v/>
      </c>
      <c r="BD24" s="30" t="s">
        <v>1010</v>
      </c>
      <c r="BE24" s="30" t="s">
        <v>1010</v>
      </c>
      <c r="BF24" s="30" t="s">
        <v>1010</v>
      </c>
      <c r="BG24" s="5" t="s">
        <v>1010</v>
      </c>
      <c r="BH24" s="204" t="s">
        <v>1010</v>
      </c>
      <c r="BI24" s="204" t="s">
        <v>1010</v>
      </c>
      <c r="BJ24" s="9" t="s">
        <v>1010</v>
      </c>
      <c r="BK24" s="44" t="s">
        <v>1010</v>
      </c>
      <c r="BL24" s="44" t="s">
        <v>1010</v>
      </c>
      <c r="BM24" s="205" t="s">
        <v>1010</v>
      </c>
      <c r="BN24" s="205" t="s">
        <v>1010</v>
      </c>
      <c r="BO24" s="205" t="s">
        <v>1010</v>
      </c>
      <c r="BP24" s="204" t="str">
        <f>IF(B24="", "", 'Air Source Heat Pumps'!$F$38)</f>
        <v/>
      </c>
      <c r="BQ24" s="205" t="str">
        <f>IF(B24="", "", 'Air Source Heat Pumps'!AY17)</f>
        <v/>
      </c>
      <c r="BR24" s="205" t="str">
        <f>IF(B24="", "", 'Air Source Heat Pumps'!AY17)</f>
        <v/>
      </c>
      <c r="BS24" s="205" t="str">
        <f>IF(B24="", "", 'Air Source Heat Pumps'!AZ17)</f>
        <v/>
      </c>
      <c r="BT24" s="44" t="str">
        <f>IF(B24="", "", 'Air Source Heat Pumps'!BA17)</f>
        <v/>
      </c>
      <c r="BU24" s="44" t="str">
        <f>IF(B24="", "", 'Air Source Heat Pumps'!BB17)</f>
        <v/>
      </c>
      <c r="BV24" s="10" t="str">
        <f>IF(B24="", "", 'Air Source Heat Pumps'!BC17)</f>
        <v/>
      </c>
    </row>
    <row r="25" spans="1:74">
      <c r="A25" s="9" t="str">
        <f>IF(B25="", "", 24)</f>
        <v/>
      </c>
      <c r="B25" s="42" t="str">
        <f>IF(OR('Air Source Heat Pumps'!D18="", 'Air Source Heat Pumps'!S18="", 'Air Source Heat Pumps'!BE18="No"), "", 'Air Source Heat Pumps'!BF18)</f>
        <v/>
      </c>
      <c r="C25" s="9" t="str">
        <f>IF(B25="", "", 'Project Summary'!$C$7)</f>
        <v/>
      </c>
      <c r="D25" s="9" t="str">
        <f>IF(B25="", "", CONCATENATE('Project Summary'!$C$4, " - ", 'Project Summary'!$C$7))</f>
        <v/>
      </c>
      <c r="E25" s="6" t="str">
        <f t="shared" si="0"/>
        <v/>
      </c>
      <c r="F25" s="9" t="str">
        <f>IF(B25="", "", 'Project Summary'!$C$8)</f>
        <v/>
      </c>
      <c r="G25" s="9" t="str">
        <f>IF(B25="", "", 'Air Source Heat Pumps'!BH18)</f>
        <v/>
      </c>
      <c r="H25" s="9" t="str">
        <f t="shared" si="2"/>
        <v/>
      </c>
      <c r="I25" s="10" t="str">
        <f>IF(B25="", "", 'Lookup Tables'!$C$2)</f>
        <v/>
      </c>
      <c r="J25" s="9" t="str">
        <f>IF(B25="", "", 'Air Source Heat Pumps'!D18)</f>
        <v/>
      </c>
      <c r="K25" s="9" t="str">
        <f>IF(B25="", "", 'Air Source Heat Pumps'!R18)</f>
        <v/>
      </c>
      <c r="L25" s="204" t="str">
        <f>IF(B25="", "", 'Air Source Heat Pumps'!BG18)</f>
        <v/>
      </c>
      <c r="M25" s="204" t="str">
        <f>IF(B25="", "", 'Air Source Heat Pumps'!C18)</f>
        <v/>
      </c>
      <c r="N25" s="9" t="str">
        <f>IF(B25="", "", 'Air Source Heat Pumps'!C18)</f>
        <v/>
      </c>
      <c r="O25" s="9" t="str">
        <f>IF(B25="", "", 'Air Source Heat Pumps'!E18)</f>
        <v/>
      </c>
      <c r="P25" s="9" t="str">
        <f>IF(B25="", "", 'Air Source Heat Pumps'!P18)</f>
        <v/>
      </c>
      <c r="Q25" s="9" t="str">
        <f>IF(B25="", "", 'Air Source Heat Pumps'!Q18)</f>
        <v/>
      </c>
      <c r="R25" s="9" t="str">
        <f>IF(B25="", "", 'Air Source Heat Pumps'!S18)</f>
        <v/>
      </c>
      <c r="S25" s="9" t="str">
        <f>IF(B25="", "", 'Air Source Heat Pumps'!AB18)</f>
        <v/>
      </c>
      <c r="T25" s="9" t="str">
        <f>IF(B25="", "", 'Air Source Heat Pumps'!N18)</f>
        <v/>
      </c>
      <c r="U25" s="9" t="str">
        <f>IF(B25="", "", 'Air Source Heat Pumps'!O18)</f>
        <v/>
      </c>
      <c r="V25" s="9" t="s">
        <v>1010</v>
      </c>
      <c r="W25" s="9" t="s">
        <v>1010</v>
      </c>
      <c r="X25" s="9" t="s">
        <v>1010</v>
      </c>
      <c r="Y25" s="202" t="str">
        <f>IF(OR(B25="",'Air Source Heat Pumps'!H18=""), "", 'Air Source Heat Pumps'!H18)</f>
        <v/>
      </c>
      <c r="Z25" s="29" t="str">
        <f>IF(OR(B25="", 'Air Source Heat Pumps'!AN18="-"), "", 'Air Source Heat Pumps'!AN18)</f>
        <v/>
      </c>
      <c r="AA25" s="29" t="str">
        <f>IF(B25="", "", 'Air Source Heat Pumps'!AO18)</f>
        <v/>
      </c>
      <c r="AB25" s="29" t="s">
        <v>1010</v>
      </c>
      <c r="AC25" s="29" t="str">
        <f>IF(OR(B25="", 'Air Source Heat Pumps'!AS18="-"), "", 'Air Source Heat Pumps'!AS18)</f>
        <v/>
      </c>
      <c r="AD25" s="29" t="str">
        <f>IF(OR(B25="", 'Air Source Heat Pumps'!AT18="-"), "", 'Air Source Heat Pumps'!AT18)</f>
        <v/>
      </c>
      <c r="AE25" s="29" t="s">
        <v>1010</v>
      </c>
      <c r="AF25" s="29" t="str">
        <f>IF(B25="", "", 'Air Source Heat Pumps'!X18)</f>
        <v/>
      </c>
      <c r="AG25" s="29" t="str">
        <f>IF(B25="", "", 'Air Source Heat Pumps'!X18)</f>
        <v/>
      </c>
      <c r="AH25" s="29" t="s">
        <v>1010</v>
      </c>
      <c r="AI25" s="29" t="str">
        <f>IF(OR(B25="", 'Air Source Heat Pumps'!AN18="-"), "", 'Air Source Heat Pumps'!AN18)</f>
        <v/>
      </c>
      <c r="AJ25" s="29" t="str">
        <f>IF(B25="", "", 'Air Source Heat Pumps'!AA18)</f>
        <v/>
      </c>
      <c r="AK25" s="29" t="s">
        <v>1010</v>
      </c>
      <c r="AL25" s="29" t="str">
        <f>IF(OR(B25="", 'Air Source Heat Pumps'!AS18="-"), "", 'Air Source Heat Pumps'!AS18)</f>
        <v/>
      </c>
      <c r="AM25" s="29" t="str">
        <f>IF(OR(B25="",  'Air Source Heat Pumps'!AU18="-"), "", 'Air Source Heat Pumps'!AU18)</f>
        <v/>
      </c>
      <c r="AN25" s="29" t="s">
        <v>1010</v>
      </c>
      <c r="AO25" s="45" t="str">
        <f>IF(B25="", "", 'Air Source Heat Pumps'!X18)</f>
        <v/>
      </c>
      <c r="AP25" s="45" t="str">
        <f>IF(B25="", "",'Air Source Heat Pumps'!AA18)</f>
        <v/>
      </c>
      <c r="AQ25" s="45" t="str">
        <f>IF(B25="", "", 'Air Source Heat Pumps'!AA18)</f>
        <v/>
      </c>
      <c r="AR25" s="29" t="s">
        <v>1010</v>
      </c>
      <c r="AS25" s="29" t="str">
        <f>IF(OR(B25="", 'Air Source Heat Pumps'!AQ18="-"), "", 'Air Source Heat Pumps'!AQ18)</f>
        <v/>
      </c>
      <c r="AT25" s="29" t="str">
        <f>IF(OR(B25="", 'Air Source Heat Pumps'!AR18="-"), "", 'Air Source Heat Pumps'!AR18)</f>
        <v/>
      </c>
      <c r="AU25" s="29" t="str">
        <f>IF(OR(B25="", 'Air Source Heat Pumps'!AV18="-"), "", 'Air Source Heat Pumps'!AV18)</f>
        <v/>
      </c>
      <c r="AV25" s="29" t="str">
        <f>IF(OR(B25="", 'Air Source Heat Pumps'!AW18="-"), "", 'Air Source Heat Pumps'!AW18)</f>
        <v/>
      </c>
      <c r="AW25" s="29" t="str">
        <f>IF(B25="", "", 'Air Source Heat Pumps'!AF18)</f>
        <v/>
      </c>
      <c r="AX25" s="29" t="str">
        <f>IF(B25="", "", 'Air Source Heat Pumps'!AF18)</f>
        <v/>
      </c>
      <c r="AY25" s="9" t="str">
        <f>IF(B25="", "", 'Air Source Heat Pumps'!AG18)</f>
        <v/>
      </c>
      <c r="AZ25" s="204" t="str">
        <f>IF(B25="", "", 'Air Source Heat Pumps'!AH18)</f>
        <v/>
      </c>
      <c r="BA25" s="9" t="s">
        <v>1010</v>
      </c>
      <c r="BB25" s="10" t="s">
        <v>1010</v>
      </c>
      <c r="BC25" s="10" t="str">
        <f>IF(B25="", "", 'Air Source Heat Pumps'!AL18)</f>
        <v/>
      </c>
      <c r="BD25" s="30" t="s">
        <v>1010</v>
      </c>
      <c r="BE25" s="30" t="s">
        <v>1010</v>
      </c>
      <c r="BF25" s="30" t="s">
        <v>1010</v>
      </c>
      <c r="BG25" s="5" t="s">
        <v>1010</v>
      </c>
      <c r="BH25" s="204" t="s">
        <v>1010</v>
      </c>
      <c r="BI25" s="204" t="s">
        <v>1010</v>
      </c>
      <c r="BJ25" s="9" t="s">
        <v>1010</v>
      </c>
      <c r="BK25" s="44" t="s">
        <v>1010</v>
      </c>
      <c r="BL25" s="44" t="s">
        <v>1010</v>
      </c>
      <c r="BM25" s="205" t="s">
        <v>1010</v>
      </c>
      <c r="BN25" s="205" t="s">
        <v>1010</v>
      </c>
      <c r="BO25" s="205" t="s">
        <v>1010</v>
      </c>
      <c r="BP25" s="204" t="str">
        <f>IF(B25="", "", 'Air Source Heat Pumps'!$F$38)</f>
        <v/>
      </c>
      <c r="BQ25" s="205" t="str">
        <f>IF(B25="", "", 'Air Source Heat Pumps'!AY18)</f>
        <v/>
      </c>
      <c r="BR25" s="205" t="str">
        <f>IF(B25="", "", 'Air Source Heat Pumps'!AY18)</f>
        <v/>
      </c>
      <c r="BS25" s="205" t="str">
        <f>IF(B25="", "", 'Air Source Heat Pumps'!AZ18)</f>
        <v/>
      </c>
      <c r="BT25" s="44" t="str">
        <f>IF(B25="", "", 'Air Source Heat Pumps'!BA18)</f>
        <v/>
      </c>
      <c r="BU25" s="44" t="str">
        <f>IF(B25="", "", 'Air Source Heat Pumps'!BB18)</f>
        <v/>
      </c>
      <c r="BV25" s="10" t="str">
        <f>IF(B25="", "", 'Air Source Heat Pumps'!BC18)</f>
        <v/>
      </c>
    </row>
    <row r="26" spans="1:74">
      <c r="A26" s="9" t="str">
        <f>IF(B26="", "", 25)</f>
        <v/>
      </c>
      <c r="B26" s="42" t="str">
        <f>IF(OR('Water Source Heat Pumps'!D12="", 'Water Source Heat Pumps'!AA12="", 'Water Source Heat Pumps'!CB12="No"), "", 'Water Source Heat Pumps'!CC12)</f>
        <v/>
      </c>
      <c r="C26" s="9" t="str">
        <f>IF(B26="", "", 'Project Summary'!$C$7)</f>
        <v/>
      </c>
      <c r="D26" s="9" t="str">
        <f>IF(B26="", "", CONCATENATE('Project Summary'!$C$4, " - ", 'Project Summary'!$C$7))</f>
        <v/>
      </c>
      <c r="E26" s="6" t="str">
        <f t="shared" ref="E26:E33" si="3">IF(B26="", "", "FPHVPR")</f>
        <v/>
      </c>
      <c r="F26" s="9" t="str">
        <f>IF(B26="", "", 'Project Summary'!$C$8)</f>
        <v/>
      </c>
      <c r="G26" s="9" t="str">
        <f>IF(B26="", "", 'Water Source Heat Pumps'!CE12)</f>
        <v/>
      </c>
      <c r="H26" s="9" t="str">
        <f t="shared" si="2"/>
        <v/>
      </c>
      <c r="I26" s="10" t="str">
        <f>IF(B26="", "", 'Lookup Tables'!$C$2)</f>
        <v/>
      </c>
      <c r="J26" s="9" t="str">
        <f>IF(B26="", "", 'Water Source Heat Pumps'!D12)</f>
        <v/>
      </c>
      <c r="K26" s="9" t="str">
        <f>IF(B26="", "", 'Water Source Heat Pumps'!Z12)</f>
        <v/>
      </c>
      <c r="L26" s="204" t="str">
        <f>IF(B26="", "", 'Water Source Heat Pumps'!CD12)</f>
        <v/>
      </c>
      <c r="M26" s="204" t="str">
        <f>IF(B26="", "", 'Water Source Heat Pumps'!C12)</f>
        <v/>
      </c>
      <c r="N26" s="9" t="str">
        <f>IF(B26="", "", 'Water Source Heat Pumps'!V12)</f>
        <v/>
      </c>
      <c r="O26" s="9" t="str">
        <f>IF(B26="", "", 'Water Source Heat Pumps'!E12)</f>
        <v/>
      </c>
      <c r="P26" s="9" t="str">
        <f>IF(B26="", "", 'Water Source Heat Pumps'!W12)</f>
        <v/>
      </c>
      <c r="Q26" s="9" t="str">
        <f>IF(B26="", "", 'Water Source Heat Pumps'!X12)</f>
        <v/>
      </c>
      <c r="R26" s="9" t="str">
        <f>IF(B26="", "", 'Water Source Heat Pumps'!AA12)</f>
        <v/>
      </c>
      <c r="S26" s="9" t="str">
        <f>IF(B26="", "", 'Water Source Heat Pumps'!AB12)</f>
        <v/>
      </c>
      <c r="T26" s="9" t="str">
        <f>IF(B26="", "", 'Water Source Heat Pumps'!T12)</f>
        <v/>
      </c>
      <c r="U26" s="9" t="str">
        <f>IF(B26="", "", 'Water Source Heat Pumps'!I12)</f>
        <v/>
      </c>
      <c r="V26" s="9" t="s">
        <v>1010</v>
      </c>
      <c r="W26" s="9" t="s">
        <v>1010</v>
      </c>
      <c r="X26" s="9" t="s">
        <v>1010</v>
      </c>
      <c r="Y26" s="202" t="str">
        <f>IF(OR(B26="",'Water Source Heat Pumps'!H12=""), "", 'Water Source Heat Pumps'!H12)</f>
        <v/>
      </c>
      <c r="AA26" s="29" t="str">
        <f>IF(B26="", "", 'Water Source Heat Pumps'!BI12)</f>
        <v/>
      </c>
      <c r="AB26" s="29" t="s">
        <v>1010</v>
      </c>
      <c r="AC26" s="29" t="s">
        <v>1010</v>
      </c>
      <c r="AD26" s="29" t="str">
        <f>IF(B26="", "", 'Water Source Heat Pumps'!BM12)</f>
        <v/>
      </c>
      <c r="AE26" s="29" t="s">
        <v>1010</v>
      </c>
      <c r="AF26" s="29" t="s">
        <v>1010</v>
      </c>
      <c r="AG26" s="29" t="str">
        <f>IF(B26="", "", 'Water Source Heat Pumps'!AG12)</f>
        <v/>
      </c>
      <c r="AH26" s="29" t="s">
        <v>1010</v>
      </c>
      <c r="AI26" s="29" t="s">
        <v>1010</v>
      </c>
      <c r="AJ26" s="29" t="str">
        <f>IF(B26="", "", 'Water Source Heat Pumps'!BJ12)</f>
        <v/>
      </c>
      <c r="AK26" s="29" t="s">
        <v>1010</v>
      </c>
      <c r="AL26" s="29" t="s">
        <v>1010</v>
      </c>
      <c r="AM26" s="29" t="s">
        <v>1010</v>
      </c>
      <c r="AN26" s="29" t="s">
        <v>1010</v>
      </c>
      <c r="AO26" s="45" t="s">
        <v>1010</v>
      </c>
      <c r="AP26" s="45" t="str">
        <f>IF(B26="", "", 'Water Source Heat Pumps'!AH12)</f>
        <v/>
      </c>
      <c r="AQ26" s="45" t="str">
        <f>IF(B26="", "", 'Water Source Heat Pumps'!AH12)</f>
        <v/>
      </c>
      <c r="AR26" s="29" t="s">
        <v>1010</v>
      </c>
      <c r="AS26" s="29" t="str">
        <f>IF(B26="", "", 'Water Source Heat Pumps'!BK12)</f>
        <v/>
      </c>
      <c r="AT26" s="29" t="str">
        <f>IF(OR(B26="", 'Water Source Heat Pumps'!BL12="-"), "", 'Water Source Heat Pumps'!BL12)</f>
        <v/>
      </c>
      <c r="AU26" s="29" t="s">
        <v>1010</v>
      </c>
      <c r="AV26" s="29" t="str">
        <f>IF(B26="", "", 'Water Source Heat Pumps'!BN12)</f>
        <v/>
      </c>
      <c r="AW26" s="29" t="str">
        <f>IF(B26="", "", 'Water Source Heat Pumps'!AK12)</f>
        <v/>
      </c>
      <c r="AX26" s="29" t="str">
        <f>IF(B26="", "", 'Water Source Heat Pumps'!AK12)</f>
        <v/>
      </c>
      <c r="AY26" s="9" t="str">
        <f>IF(B26="", "", 'Water Source Heat Pumps'!AY12)</f>
        <v/>
      </c>
      <c r="AZ26" s="204" t="str">
        <f>IF(B26="", "", 'Water Source Heat Pumps'!AZ12)</f>
        <v/>
      </c>
      <c r="BA26" s="9" t="str">
        <f>IF(B26="", "", 'Water Source Heat Pumps'!BA12)</f>
        <v/>
      </c>
      <c r="BB26" s="10" t="str">
        <f>IF(B26="", "", 'Water Source Heat Pumps'!BA12)</f>
        <v/>
      </c>
      <c r="BC26" s="10" t="str">
        <f>IF(B26="", "", 'Water Source Heat Pumps'!BB12)</f>
        <v/>
      </c>
      <c r="BD26" s="10" t="str">
        <f>IF(B26="", "", 'Water Source Heat Pumps'!N12)</f>
        <v/>
      </c>
      <c r="BE26" s="10" t="str">
        <f>IF(B26="", "", 'Water Source Heat Pumps'!O12)</f>
        <v/>
      </c>
      <c r="BF26" s="10" t="str">
        <f>IF(B26="", "", 'Water Source Heat Pumps'!P12)</f>
        <v/>
      </c>
      <c r="BG26" s="9" t="str">
        <f>IF(B26="", "", 'Water Source Heat Pumps'!AS12)</f>
        <v/>
      </c>
      <c r="BH26" s="29" t="str">
        <f>IF(B26="", "", 'Water Source Heat Pumps'!AT12)</f>
        <v/>
      </c>
      <c r="BI26" s="45" t="str">
        <f>IF(B26="", "", 'Water Source Heat Pumps'!AU12)</f>
        <v/>
      </c>
      <c r="BJ26" s="9" t="str">
        <f>IF(B26="", "", 'Water Source Heat Pumps'!AL12)</f>
        <v/>
      </c>
      <c r="BK26" s="44" t="str">
        <f>IF(B26="", "", 'Water Source Heat Pumps'!AM12)</f>
        <v/>
      </c>
      <c r="BL26" s="44" t="str">
        <f>IF(B26="", "", 'Water Source Heat Pumps'!AN12)</f>
        <v/>
      </c>
      <c r="BM26" s="205" t="str">
        <f>IF(B26="", "", 'Water Source Heat Pumps'!AV12)</f>
        <v/>
      </c>
      <c r="BN26" s="205" t="str">
        <f>IF(B26="", "", 'Water Source Heat Pumps'!AW12)</f>
        <v/>
      </c>
      <c r="BO26" s="205" t="str">
        <f>IF(B26="", "",'Water Source Heat Pumps'!AX12)</f>
        <v/>
      </c>
      <c r="BP26" s="204" t="str">
        <f>IF(B26="", "",'Water Source Heat Pumps'!$C$59)</f>
        <v/>
      </c>
      <c r="BQ26" s="205" t="str">
        <f>IF(B26="", "", 'Water Source Heat Pumps'!BT12)</f>
        <v/>
      </c>
      <c r="BR26" s="205" t="str">
        <f>IF(B26="", "",'Water Source Heat Pumps'!BT12)</f>
        <v/>
      </c>
      <c r="BS26" s="205" t="str">
        <f>IF(B26="", "",'Water Source Heat Pumps'!BU12)</f>
        <v/>
      </c>
      <c r="BT26" s="44" t="str">
        <f>IF(B26="", "",'Water Source Heat Pumps'!BV12)</f>
        <v/>
      </c>
      <c r="BU26" s="44" t="str">
        <f>IF(B26="", "",'Water Source Heat Pumps'!BX12)</f>
        <v/>
      </c>
      <c r="BV26" s="10" t="str">
        <f>IF(B26="", "",'Water Source Heat Pumps'!BZ12)</f>
        <v/>
      </c>
    </row>
    <row r="27" spans="1:74">
      <c r="A27" s="9" t="str">
        <f>IF(B27="", "", 26)</f>
        <v/>
      </c>
      <c r="B27" s="42" t="str">
        <f>IF(OR('Water Source Heat Pumps'!D13="", 'Water Source Heat Pumps'!AA13="", 'Water Source Heat Pumps'!CB13="No"), "", 'Water Source Heat Pumps'!CC13)</f>
        <v/>
      </c>
      <c r="C27" s="9" t="str">
        <f>IF(B27="", "", 'Project Summary'!$C$7)</f>
        <v/>
      </c>
      <c r="D27" s="9" t="str">
        <f>IF(B27="", "", CONCATENATE('Project Summary'!$C$4, " - ", 'Project Summary'!$C$7))</f>
        <v/>
      </c>
      <c r="E27" s="6" t="str">
        <f t="shared" si="3"/>
        <v/>
      </c>
      <c r="F27" s="9" t="str">
        <f>IF(B27="", "", 'Project Summary'!$C$8)</f>
        <v/>
      </c>
      <c r="G27" s="9" t="str">
        <f>IF(B27="", "", 'Water Source Heat Pumps'!CE13)</f>
        <v/>
      </c>
      <c r="H27" s="9" t="str">
        <f t="shared" si="2"/>
        <v/>
      </c>
      <c r="I27" s="10" t="str">
        <f>IF(B27="", "", 'Lookup Tables'!$C$2)</f>
        <v/>
      </c>
      <c r="J27" s="9" t="str">
        <f>IF(B27="", "", 'Water Source Heat Pumps'!D13)</f>
        <v/>
      </c>
      <c r="K27" s="9" t="str">
        <f>IF(B27="", "", 'Water Source Heat Pumps'!Z13)</f>
        <v/>
      </c>
      <c r="L27" s="204" t="str">
        <f>IF(B27="", "", 'Water Source Heat Pumps'!CD13)</f>
        <v/>
      </c>
      <c r="M27" s="204" t="str">
        <f>IF(B27="", "", 'Water Source Heat Pumps'!C13)</f>
        <v/>
      </c>
      <c r="N27" s="9" t="str">
        <f>IF(B27="", "", 'Water Source Heat Pumps'!V13)</f>
        <v/>
      </c>
      <c r="O27" s="9" t="str">
        <f>IF(B27="", "", 'Water Source Heat Pumps'!E13)</f>
        <v/>
      </c>
      <c r="P27" s="9" t="str">
        <f>IF(B27="", "", 'Water Source Heat Pumps'!W13)</f>
        <v/>
      </c>
      <c r="Q27" s="9" t="str">
        <f>IF(B27="", "", 'Water Source Heat Pumps'!X13)</f>
        <v/>
      </c>
      <c r="R27" s="9" t="str">
        <f>IF(B27="", "", 'Water Source Heat Pumps'!AA13)</f>
        <v/>
      </c>
      <c r="S27" s="9" t="str">
        <f>IF(B27="", "", 'Water Source Heat Pumps'!AB13)</f>
        <v/>
      </c>
      <c r="T27" s="9" t="str">
        <f>IF(B27="", "", 'Water Source Heat Pumps'!T13)</f>
        <v/>
      </c>
      <c r="U27" s="9" t="str">
        <f>IF(B27="", "", 'Water Source Heat Pumps'!I13)</f>
        <v/>
      </c>
      <c r="Y27" s="202" t="str">
        <f>IF(OR(B27="",'Water Source Heat Pumps'!H13=""), "", 'Water Source Heat Pumps'!H13)</f>
        <v/>
      </c>
      <c r="AA27" s="29" t="str">
        <f>IF(B27="", "", 'Water Source Heat Pumps'!BI13)</f>
        <v/>
      </c>
      <c r="AD27" s="29" t="str">
        <f>IF(B27="", "", 'Water Source Heat Pumps'!BM13)</f>
        <v/>
      </c>
      <c r="AG27" s="29" t="str">
        <f>IF(B27="", "", 'Water Source Heat Pumps'!AG13)</f>
        <v/>
      </c>
      <c r="AJ27" s="29" t="str">
        <f>IF(B27="", "", 'Water Source Heat Pumps'!BJ13)</f>
        <v/>
      </c>
      <c r="AP27" s="45" t="str">
        <f>IF(B27="", "", 'Water Source Heat Pumps'!AH13)</f>
        <v/>
      </c>
      <c r="AQ27" s="45" t="str">
        <f>IF(B27="", "", 'Water Source Heat Pumps'!AH13)</f>
        <v/>
      </c>
      <c r="AS27" s="29" t="str">
        <f>IF(B27="", "", 'Water Source Heat Pumps'!BK13)</f>
        <v/>
      </c>
      <c r="AT27" s="29" t="str">
        <f>IF(OR(B27="", 'Water Source Heat Pumps'!BL13="-"), "", 'Water Source Heat Pumps'!BL13)</f>
        <v/>
      </c>
      <c r="AV27" s="29" t="str">
        <f>IF(B27="", "", 'Water Source Heat Pumps'!BN13)</f>
        <v/>
      </c>
      <c r="AW27" s="29" t="str">
        <f>IF(B27="", "", 'Water Source Heat Pumps'!AK13)</f>
        <v/>
      </c>
      <c r="AX27" s="29" t="str">
        <f>IF(B27="", "", 'Water Source Heat Pumps'!AK13)</f>
        <v/>
      </c>
      <c r="AY27" s="9" t="str">
        <f>IF(B27="", "", 'Water Source Heat Pumps'!AY13)</f>
        <v/>
      </c>
      <c r="AZ27" s="204" t="str">
        <f>IF(B27="", "", 'Water Source Heat Pumps'!AZ13)</f>
        <v/>
      </c>
      <c r="BA27" s="9" t="str">
        <f>IF(B27="", "", 'Water Source Heat Pumps'!BA13)</f>
        <v/>
      </c>
      <c r="BB27" s="10" t="str">
        <f>IF(B27="", "", 'Water Source Heat Pumps'!BA13)</f>
        <v/>
      </c>
      <c r="BC27" s="10" t="str">
        <f>IF(B27="", "", 'Water Source Heat Pumps'!BB13)</f>
        <v/>
      </c>
      <c r="BD27" s="10" t="str">
        <f>IF(B27="", "", 'Water Source Heat Pumps'!N13)</f>
        <v/>
      </c>
      <c r="BE27" s="10" t="str">
        <f>IF(B27="", "", 'Water Source Heat Pumps'!O13)</f>
        <v/>
      </c>
      <c r="BF27" s="10" t="str">
        <f>IF(B27="", "", 'Water Source Heat Pumps'!P13)</f>
        <v/>
      </c>
      <c r="BG27" s="9" t="str">
        <f>IF(B27="", "", 'Water Source Heat Pumps'!AS13)</f>
        <v/>
      </c>
      <c r="BH27" s="29" t="str">
        <f>IF(B27="", "", 'Water Source Heat Pumps'!AT13)</f>
        <v/>
      </c>
      <c r="BI27" s="45" t="str">
        <f>IF(B27="", "", 'Water Source Heat Pumps'!S13)</f>
        <v/>
      </c>
      <c r="BJ27" s="9" t="str">
        <f>IF(B27="", "", 'Water Source Heat Pumps'!AL13)</f>
        <v/>
      </c>
      <c r="BK27" s="44" t="str">
        <f>IF(B27="", "", 'Water Source Heat Pumps'!AM13)</f>
        <v/>
      </c>
      <c r="BL27" s="44" t="str">
        <f>IF(B27="", "", 'Water Source Heat Pumps'!AN13)</f>
        <v/>
      </c>
      <c r="BM27" s="205" t="str">
        <f>IF(B27="", "", 'Water Source Heat Pumps'!AV13)</f>
        <v/>
      </c>
      <c r="BN27" s="205" t="str">
        <f>IF(B27="", "", 'Water Source Heat Pumps'!AW13)</f>
        <v/>
      </c>
      <c r="BO27" s="205" t="str">
        <f>IF(B27="", "",'Water Source Heat Pumps'!AX13)</f>
        <v/>
      </c>
      <c r="BP27" s="204" t="str">
        <f>IF(B27="", "",'Water Source Heat Pumps'!$C$59)</f>
        <v/>
      </c>
      <c r="BQ27" s="205" t="str">
        <f>IF(B27="", "", 'Water Source Heat Pumps'!BT13)</f>
        <v/>
      </c>
      <c r="BR27" s="205" t="str">
        <f>IF(B27="", "",'Water Source Heat Pumps'!BT13)</f>
        <v/>
      </c>
      <c r="BS27" s="205" t="str">
        <f>IF(B27="", "",'Water Source Heat Pumps'!BU13)</f>
        <v/>
      </c>
      <c r="BT27" s="44" t="str">
        <f>IF(B27="", "",'Water Source Heat Pumps'!BV13)</f>
        <v/>
      </c>
      <c r="BU27" s="44" t="str">
        <f>IF(B27="", "",'Water Source Heat Pumps'!BX13)</f>
        <v/>
      </c>
      <c r="BV27" s="10" t="str">
        <f>IF(B27="", "",'Water Source Heat Pumps'!BZ13)</f>
        <v/>
      </c>
    </row>
    <row r="28" spans="1:74">
      <c r="A28" s="9" t="str">
        <f>IF(B28="", "", 27)</f>
        <v/>
      </c>
      <c r="B28" s="42" t="str">
        <f>IF(OR('Water Source Heat Pumps'!D14="", 'Water Source Heat Pumps'!AA14="", 'Water Source Heat Pumps'!CB14="No"), "", 'Water Source Heat Pumps'!CC14)</f>
        <v/>
      </c>
      <c r="C28" s="9" t="str">
        <f>IF(B28="", "", 'Project Summary'!$C$7)</f>
        <v/>
      </c>
      <c r="D28" s="9" t="str">
        <f>IF(B28="", "", CONCATENATE('Project Summary'!$C$4, " - ", 'Project Summary'!$C$7))</f>
        <v/>
      </c>
      <c r="E28" s="6" t="str">
        <f t="shared" si="3"/>
        <v/>
      </c>
      <c r="F28" s="9" t="str">
        <f>IF(B28="", "", 'Project Summary'!$C$8)</f>
        <v/>
      </c>
      <c r="G28" s="9" t="str">
        <f>IF(B28="", "", 'Water Source Heat Pumps'!CE14)</f>
        <v/>
      </c>
      <c r="H28" s="9" t="str">
        <f t="shared" si="2"/>
        <v/>
      </c>
      <c r="I28" s="10" t="str">
        <f>IF(B28="", "", 'Lookup Tables'!$C$2)</f>
        <v/>
      </c>
      <c r="J28" s="9" t="str">
        <f>IF(B28="", "", 'Water Source Heat Pumps'!D14)</f>
        <v/>
      </c>
      <c r="K28" s="9" t="str">
        <f>IF(B28="", "", 'Water Source Heat Pumps'!Z14)</f>
        <v/>
      </c>
      <c r="L28" s="204" t="str">
        <f>IF(B28="", "", 'Water Source Heat Pumps'!CD14)</f>
        <v/>
      </c>
      <c r="M28" s="204" t="str">
        <f>IF(B28="", "", 'Water Source Heat Pumps'!C14)</f>
        <v/>
      </c>
      <c r="N28" s="9" t="str">
        <f>IF(B28="", "", 'Water Source Heat Pumps'!V14)</f>
        <v/>
      </c>
      <c r="O28" s="9" t="str">
        <f>IF(B28="", "", 'Water Source Heat Pumps'!E14)</f>
        <v/>
      </c>
      <c r="P28" s="9" t="str">
        <f>IF(B28="", "", 'Water Source Heat Pumps'!W14)</f>
        <v/>
      </c>
      <c r="Q28" s="9" t="str">
        <f>IF(B28="", "", 'Water Source Heat Pumps'!X14)</f>
        <v/>
      </c>
      <c r="R28" s="9" t="str">
        <f>IF(B28="", "", 'Water Source Heat Pumps'!AA14)</f>
        <v/>
      </c>
      <c r="S28" s="9" t="str">
        <f>IF(B28="", "", 'Water Source Heat Pumps'!AB14)</f>
        <v/>
      </c>
      <c r="T28" s="9" t="str">
        <f>IF(B28="", "", 'Water Source Heat Pumps'!T14)</f>
        <v/>
      </c>
      <c r="U28" s="9" t="str">
        <f>IF(B28="", "", 'Water Source Heat Pumps'!I14)</f>
        <v/>
      </c>
      <c r="Y28" s="202" t="str">
        <f>IF(OR(B28="",'Water Source Heat Pumps'!H14=""), "", 'Water Source Heat Pumps'!H14)</f>
        <v/>
      </c>
      <c r="AA28" s="29" t="str">
        <f>IF(B28="", "", 'Water Source Heat Pumps'!BI14)</f>
        <v/>
      </c>
      <c r="AD28" s="29" t="str">
        <f>IF(B28="", "", 'Water Source Heat Pumps'!BM14)</f>
        <v/>
      </c>
      <c r="AG28" s="29" t="str">
        <f>IF(B28="", "", 'Water Source Heat Pumps'!AG14)</f>
        <v/>
      </c>
      <c r="AJ28" s="29" t="str">
        <f>IF(B28="", "", 'Water Source Heat Pumps'!BJ14)</f>
        <v/>
      </c>
      <c r="AP28" s="45" t="str">
        <f>IF(B28="", "", 'Water Source Heat Pumps'!AH14)</f>
        <v/>
      </c>
      <c r="AQ28" s="45" t="str">
        <f>IF(B28="", "", 'Water Source Heat Pumps'!AH14)</f>
        <v/>
      </c>
      <c r="AS28" s="29" t="str">
        <f>IF(B28="", "", 'Water Source Heat Pumps'!BK14)</f>
        <v/>
      </c>
      <c r="AT28" s="29" t="str">
        <f>IF(OR(B28="", 'Water Source Heat Pumps'!BL14="-"), "", 'Water Source Heat Pumps'!BL14)</f>
        <v/>
      </c>
      <c r="AV28" s="29" t="str">
        <f>IF(B28="", "", 'Water Source Heat Pumps'!BN14)</f>
        <v/>
      </c>
      <c r="AW28" s="29" t="str">
        <f>IF(B28="", "", 'Water Source Heat Pumps'!AK14)</f>
        <v/>
      </c>
      <c r="AX28" s="29" t="str">
        <f>IF(B28="", "", 'Water Source Heat Pumps'!AK14)</f>
        <v/>
      </c>
      <c r="AY28" s="9" t="str">
        <f>IF(B28="", "", 'Water Source Heat Pumps'!AY14)</f>
        <v/>
      </c>
      <c r="AZ28" s="204" t="str">
        <f>IF(B28="", "", 'Water Source Heat Pumps'!AZ14)</f>
        <v/>
      </c>
      <c r="BA28" s="9" t="str">
        <f>IF(B28="", "", 'Water Source Heat Pumps'!BA14)</f>
        <v/>
      </c>
      <c r="BB28" s="10" t="str">
        <f>IF(B28="", "", 'Water Source Heat Pumps'!BA14)</f>
        <v/>
      </c>
      <c r="BC28" s="10" t="str">
        <f>IF(B28="", "", 'Water Source Heat Pumps'!BB14)</f>
        <v/>
      </c>
      <c r="BD28" s="10" t="str">
        <f>IF(B28="", "", 'Water Source Heat Pumps'!N14)</f>
        <v/>
      </c>
      <c r="BE28" s="10" t="str">
        <f>IF(B28="", "", 'Water Source Heat Pumps'!O14)</f>
        <v/>
      </c>
      <c r="BF28" s="10" t="str">
        <f>IF(B28="", "", 'Water Source Heat Pumps'!P14)</f>
        <v/>
      </c>
      <c r="BG28" s="9" t="str">
        <f>IF(B28="", "", 'Water Source Heat Pumps'!AS14)</f>
        <v/>
      </c>
      <c r="BH28" s="29" t="str">
        <f>IF(B28="", "", 'Water Source Heat Pumps'!AT14)</f>
        <v/>
      </c>
      <c r="BI28" s="45" t="str">
        <f>IF(B28="", "", 'Water Source Heat Pumps'!S14)</f>
        <v/>
      </c>
      <c r="BJ28" s="9" t="str">
        <f>IF(B28="", "", 'Water Source Heat Pumps'!AL14)</f>
        <v/>
      </c>
      <c r="BK28" s="44" t="str">
        <f>IF(B28="", "", 'Water Source Heat Pumps'!AM14)</f>
        <v/>
      </c>
      <c r="BL28" s="44" t="str">
        <f>IF(B28="", "", 'Water Source Heat Pumps'!AN14)</f>
        <v/>
      </c>
      <c r="BM28" s="205" t="str">
        <f>IF(B28="", "", 'Water Source Heat Pumps'!AV14)</f>
        <v/>
      </c>
      <c r="BN28" s="205" t="str">
        <f>IF(B28="", "", 'Water Source Heat Pumps'!AW14)</f>
        <v/>
      </c>
      <c r="BO28" s="205" t="str">
        <f>IF(B28="", "",'Water Source Heat Pumps'!AX14)</f>
        <v/>
      </c>
      <c r="BP28" s="204" t="str">
        <f>IF(B28="", "",'Water Source Heat Pumps'!$C$59)</f>
        <v/>
      </c>
      <c r="BQ28" s="205" t="str">
        <f>IF(B28="", "", 'Water Source Heat Pumps'!BT14)</f>
        <v/>
      </c>
      <c r="BR28" s="205" t="str">
        <f>IF(B28="", "",'Water Source Heat Pumps'!BT14)</f>
        <v/>
      </c>
      <c r="BS28" s="205" t="str">
        <f>IF(B28="", "",'Water Source Heat Pumps'!BU14)</f>
        <v/>
      </c>
      <c r="BT28" s="44" t="str">
        <f>IF(B28="", "",'Water Source Heat Pumps'!BV14)</f>
        <v/>
      </c>
      <c r="BU28" s="44" t="str">
        <f>IF(B28="", "",'Water Source Heat Pumps'!BX14)</f>
        <v/>
      </c>
      <c r="BV28" s="10" t="str">
        <f>IF(B28="", "",'Water Source Heat Pumps'!BZ14)</f>
        <v/>
      </c>
    </row>
    <row r="29" spans="1:74">
      <c r="A29" s="9" t="str">
        <f>IF(B29="", "", 28)</f>
        <v/>
      </c>
      <c r="B29" s="42" t="str">
        <f>IF(OR('Water Source Heat Pumps'!D15="", 'Water Source Heat Pumps'!AA15="", 'Water Source Heat Pumps'!CB15="No"), "", 'Water Source Heat Pumps'!CC15)</f>
        <v/>
      </c>
      <c r="C29" s="9" t="str">
        <f>IF(B29="", "", 'Project Summary'!$C$7)</f>
        <v/>
      </c>
      <c r="D29" s="9" t="str">
        <f>IF(B29="", "", CONCATENATE('Project Summary'!$C$4, " - ", 'Project Summary'!$C$7))</f>
        <v/>
      </c>
      <c r="E29" s="6" t="str">
        <f t="shared" si="3"/>
        <v/>
      </c>
      <c r="F29" s="9" t="str">
        <f>IF(B29="", "", 'Project Summary'!$C$8)</f>
        <v/>
      </c>
      <c r="G29" s="9" t="str">
        <f>IF(B29="", "", 'Water Source Heat Pumps'!CE15)</f>
        <v/>
      </c>
      <c r="H29" s="9" t="str">
        <f t="shared" si="2"/>
        <v/>
      </c>
      <c r="I29" s="10" t="str">
        <f>IF(B29="", "", 'Lookup Tables'!$C$2)</f>
        <v/>
      </c>
      <c r="J29" s="9" t="str">
        <f>IF(B29="", "", 'Water Source Heat Pumps'!D15)</f>
        <v/>
      </c>
      <c r="K29" s="9" t="str">
        <f>IF(B29="", "", 'Water Source Heat Pumps'!Z15)</f>
        <v/>
      </c>
      <c r="L29" s="204" t="str">
        <f>IF(B29="", "", 'Water Source Heat Pumps'!CD15)</f>
        <v/>
      </c>
      <c r="M29" s="204" t="str">
        <f>IF(B29="", "", 'Water Source Heat Pumps'!C15)</f>
        <v/>
      </c>
      <c r="N29" s="9" t="str">
        <f>IF(B29="", "", 'Water Source Heat Pumps'!V15)</f>
        <v/>
      </c>
      <c r="O29" s="9" t="str">
        <f>IF(B29="", "", 'Water Source Heat Pumps'!E15)</f>
        <v/>
      </c>
      <c r="P29" s="9" t="str">
        <f>IF(B29="", "", 'Water Source Heat Pumps'!W15)</f>
        <v/>
      </c>
      <c r="Q29" s="9" t="str">
        <f>IF(B29="", "", 'Water Source Heat Pumps'!X15)</f>
        <v/>
      </c>
      <c r="R29" s="9" t="str">
        <f>IF(B29="", "", 'Water Source Heat Pumps'!AA15)</f>
        <v/>
      </c>
      <c r="S29" s="9" t="str">
        <f>IF(B29="", "", 'Water Source Heat Pumps'!AB15)</f>
        <v/>
      </c>
      <c r="T29" s="9" t="str">
        <f>IF(B29="", "", 'Water Source Heat Pumps'!T15)</f>
        <v/>
      </c>
      <c r="U29" s="9" t="str">
        <f>IF(B29="", "", 'Water Source Heat Pumps'!I15)</f>
        <v/>
      </c>
      <c r="Y29" s="202" t="str">
        <f>IF(OR(B29="",'Water Source Heat Pumps'!H15=""), "", 'Water Source Heat Pumps'!H15)</f>
        <v/>
      </c>
      <c r="AA29" s="29" t="str">
        <f>IF(B29="", "", 'Water Source Heat Pumps'!BI15)</f>
        <v/>
      </c>
      <c r="AD29" s="29" t="str">
        <f>IF(B29="", "", 'Water Source Heat Pumps'!BM15)</f>
        <v/>
      </c>
      <c r="AG29" s="29" t="str">
        <f>IF(B29="", "", 'Water Source Heat Pumps'!AG15)</f>
        <v/>
      </c>
      <c r="AJ29" s="29" t="str">
        <f>IF(B29="", "", 'Water Source Heat Pumps'!BJ15)</f>
        <v/>
      </c>
      <c r="AP29" s="45" t="str">
        <f>IF(B29="", "", 'Water Source Heat Pumps'!AH15)</f>
        <v/>
      </c>
      <c r="AQ29" s="45" t="str">
        <f>IF(B29="", "", 'Water Source Heat Pumps'!AH15)</f>
        <v/>
      </c>
      <c r="AS29" s="29" t="str">
        <f>IF(B29="", "", 'Water Source Heat Pumps'!BK15)</f>
        <v/>
      </c>
      <c r="AT29" s="29" t="str">
        <f>IF(OR(B29="", 'Water Source Heat Pumps'!BL15="-"), "", 'Water Source Heat Pumps'!BL15)</f>
        <v/>
      </c>
      <c r="AV29" s="29" t="str">
        <f>IF(B29="", "", 'Water Source Heat Pumps'!BN15)</f>
        <v/>
      </c>
      <c r="AW29" s="29" t="str">
        <f>IF(B29="", "", 'Water Source Heat Pumps'!AK15)</f>
        <v/>
      </c>
      <c r="AX29" s="29" t="str">
        <f>IF(B29="", "", 'Water Source Heat Pumps'!AK15)</f>
        <v/>
      </c>
      <c r="AY29" s="9" t="str">
        <f>IF(B29="", "", 'Water Source Heat Pumps'!AY15)</f>
        <v/>
      </c>
      <c r="AZ29" s="204" t="str">
        <f>IF(B29="", "", 'Water Source Heat Pumps'!AZ15)</f>
        <v/>
      </c>
      <c r="BA29" s="9" t="str">
        <f>IF(B29="", "", 'Water Source Heat Pumps'!BA15)</f>
        <v/>
      </c>
      <c r="BB29" s="10" t="str">
        <f>IF(B29="", "", 'Water Source Heat Pumps'!BA15)</f>
        <v/>
      </c>
      <c r="BC29" s="10" t="str">
        <f>IF(B29="", "", 'Water Source Heat Pumps'!BB15)</f>
        <v/>
      </c>
      <c r="BD29" s="10" t="str">
        <f>IF(B29="", "", 'Water Source Heat Pumps'!N15)</f>
        <v/>
      </c>
      <c r="BE29" s="10" t="str">
        <f>IF(B29="", "", 'Water Source Heat Pumps'!O15)</f>
        <v/>
      </c>
      <c r="BF29" s="10" t="str">
        <f>IF(B29="", "", 'Water Source Heat Pumps'!P15)</f>
        <v/>
      </c>
      <c r="BG29" s="9" t="str">
        <f>IF(B29="", "", 'Water Source Heat Pumps'!AS15)</f>
        <v/>
      </c>
      <c r="BH29" s="29" t="str">
        <f>IF(B29="", "", 'Water Source Heat Pumps'!AT15)</f>
        <v/>
      </c>
      <c r="BI29" s="45" t="str">
        <f>IF(B29="", "", 'Water Source Heat Pumps'!S15)</f>
        <v/>
      </c>
      <c r="BJ29" s="9" t="str">
        <f>IF(B29="", "", 'Water Source Heat Pumps'!AL15)</f>
        <v/>
      </c>
      <c r="BK29" s="44" t="str">
        <f>IF(B29="", "", 'Water Source Heat Pumps'!AM15)</f>
        <v/>
      </c>
      <c r="BL29" s="44" t="str">
        <f>IF(B29="", "", 'Water Source Heat Pumps'!AN15)</f>
        <v/>
      </c>
      <c r="BM29" s="205" t="str">
        <f>IF(B29="", "", 'Water Source Heat Pumps'!AV15)</f>
        <v/>
      </c>
      <c r="BN29" s="205" t="str">
        <f>IF(B29="", "", 'Water Source Heat Pumps'!AW15)</f>
        <v/>
      </c>
      <c r="BO29" s="205" t="str">
        <f>IF(B29="", "",'Water Source Heat Pumps'!AX15)</f>
        <v/>
      </c>
      <c r="BP29" s="204" t="str">
        <f>IF(B29="", "",'Water Source Heat Pumps'!$C$59)</f>
        <v/>
      </c>
      <c r="BQ29" s="205" t="str">
        <f>IF(B29="", "", 'Water Source Heat Pumps'!BT15)</f>
        <v/>
      </c>
      <c r="BR29" s="205" t="str">
        <f>IF(B29="", "",'Water Source Heat Pumps'!BT15)</f>
        <v/>
      </c>
      <c r="BS29" s="205" t="str">
        <f>IF(B29="", "",'Water Source Heat Pumps'!BU15)</f>
        <v/>
      </c>
      <c r="BT29" s="44" t="str">
        <f>IF(B29="", "",'Water Source Heat Pumps'!BV15)</f>
        <v/>
      </c>
      <c r="BU29" s="44" t="str">
        <f>IF(B29="", "",'Water Source Heat Pumps'!BX15)</f>
        <v/>
      </c>
      <c r="BV29" s="10" t="str">
        <f>IF(B29="", "",'Water Source Heat Pumps'!BZ15)</f>
        <v/>
      </c>
    </row>
    <row r="30" spans="1:74">
      <c r="A30" s="9" t="str">
        <f>IF(B30="", "", 29)</f>
        <v/>
      </c>
      <c r="B30" s="42" t="str">
        <f>IF(OR('Water Source Heat Pumps'!D16="", 'Water Source Heat Pumps'!AA16="", 'Water Source Heat Pumps'!CB16="No"), "", 'Water Source Heat Pumps'!CC16)</f>
        <v/>
      </c>
      <c r="C30" s="9" t="str">
        <f>IF(B30="", "", 'Project Summary'!$C$7)</f>
        <v/>
      </c>
      <c r="D30" s="9" t="str">
        <f>IF(B30="", "", CONCATENATE('Project Summary'!$C$4, " - ", 'Project Summary'!$C$7))</f>
        <v/>
      </c>
      <c r="E30" s="6" t="str">
        <f t="shared" si="3"/>
        <v/>
      </c>
      <c r="F30" s="9" t="str">
        <f>IF(B30="", "", 'Project Summary'!$C$8)</f>
        <v/>
      </c>
      <c r="G30" s="9" t="str">
        <f>IF(B30="", "", 'Water Source Heat Pumps'!CE16)</f>
        <v/>
      </c>
      <c r="H30" s="9" t="str">
        <f t="shared" si="2"/>
        <v/>
      </c>
      <c r="I30" s="10" t="str">
        <f>IF(B30="", "", 'Lookup Tables'!$C$2)</f>
        <v/>
      </c>
      <c r="J30" s="9" t="str">
        <f>IF(B30="", "", 'Water Source Heat Pumps'!D16)</f>
        <v/>
      </c>
      <c r="K30" s="9" t="str">
        <f>IF(B30="", "", 'Water Source Heat Pumps'!Z16)</f>
        <v/>
      </c>
      <c r="L30" s="204" t="str">
        <f>IF(B30="", "", 'Water Source Heat Pumps'!CD16)</f>
        <v/>
      </c>
      <c r="M30" s="204" t="str">
        <f>IF(B30="", "", 'Water Source Heat Pumps'!C16)</f>
        <v/>
      </c>
      <c r="N30" s="9" t="str">
        <f>IF(B30="", "", 'Water Source Heat Pumps'!V16)</f>
        <v/>
      </c>
      <c r="O30" s="9" t="str">
        <f>IF(B30="", "", 'Water Source Heat Pumps'!E16)</f>
        <v/>
      </c>
      <c r="P30" s="9" t="str">
        <f>IF(B30="", "", 'Water Source Heat Pumps'!W16)</f>
        <v/>
      </c>
      <c r="Q30" s="9" t="str">
        <f>IF(B30="", "", 'Water Source Heat Pumps'!X16)</f>
        <v/>
      </c>
      <c r="R30" s="9" t="str">
        <f>IF(B30="", "", 'Water Source Heat Pumps'!AA16)</f>
        <v/>
      </c>
      <c r="S30" s="9" t="str">
        <f>IF(B30="", "", 'Water Source Heat Pumps'!AB16)</f>
        <v/>
      </c>
      <c r="T30" s="9" t="str">
        <f>IF(B30="", "", 'Water Source Heat Pumps'!T16)</f>
        <v/>
      </c>
      <c r="U30" s="9" t="str">
        <f>IF(B30="", "", 'Water Source Heat Pumps'!I16)</f>
        <v/>
      </c>
      <c r="Y30" s="202" t="str">
        <f>IF(OR(B30="",'Water Source Heat Pumps'!H16=""), "", 'Water Source Heat Pumps'!H16)</f>
        <v/>
      </c>
      <c r="AA30" s="29" t="str">
        <f>IF(B30="", "", 'Water Source Heat Pumps'!BI16)</f>
        <v/>
      </c>
      <c r="AD30" s="29" t="str">
        <f>IF(B30="", "", 'Water Source Heat Pumps'!BM16)</f>
        <v/>
      </c>
      <c r="AG30" s="29" t="str">
        <f>IF(B30="", "", 'Water Source Heat Pumps'!AG16)</f>
        <v/>
      </c>
      <c r="AJ30" s="29" t="str">
        <f>IF(B30="", "", 'Water Source Heat Pumps'!BJ16)</f>
        <v/>
      </c>
      <c r="AP30" s="45" t="str">
        <f>IF(B30="", "", 'Water Source Heat Pumps'!AH16)</f>
        <v/>
      </c>
      <c r="AQ30" s="45" t="str">
        <f>IF(B30="", "", 'Water Source Heat Pumps'!AH16)</f>
        <v/>
      </c>
      <c r="AS30" s="29" t="str">
        <f>IF(B30="", "", 'Water Source Heat Pumps'!BK16)</f>
        <v/>
      </c>
      <c r="AT30" s="29" t="str">
        <f>IF(OR(B30="", 'Water Source Heat Pumps'!BL16="-"), "", 'Water Source Heat Pumps'!BL16)</f>
        <v/>
      </c>
      <c r="AV30" s="29" t="str">
        <f>IF(B30="", "", 'Water Source Heat Pumps'!BN16)</f>
        <v/>
      </c>
      <c r="AW30" s="29" t="str">
        <f>IF(B30="", "", 'Water Source Heat Pumps'!AK16)</f>
        <v/>
      </c>
      <c r="AX30" s="29" t="str">
        <f>IF(B30="", "", 'Water Source Heat Pumps'!AK16)</f>
        <v/>
      </c>
      <c r="AY30" s="9" t="str">
        <f>IF(B30="", "", 'Water Source Heat Pumps'!AY16)</f>
        <v/>
      </c>
      <c r="AZ30" s="204" t="str">
        <f>IF(B30="", "", 'Water Source Heat Pumps'!AZ16)</f>
        <v/>
      </c>
      <c r="BA30" s="9" t="str">
        <f>IF(B30="", "", 'Water Source Heat Pumps'!BA16)</f>
        <v/>
      </c>
      <c r="BB30" s="10" t="str">
        <f>IF(B30="", "", 'Water Source Heat Pumps'!BA16)</f>
        <v/>
      </c>
      <c r="BC30" s="10" t="str">
        <f>IF(B30="", "", 'Water Source Heat Pumps'!BB16)</f>
        <v/>
      </c>
      <c r="BD30" s="10" t="str">
        <f>IF(B30="", "", 'Water Source Heat Pumps'!N16)</f>
        <v/>
      </c>
      <c r="BE30" s="10" t="str">
        <f>IF(B30="", "", 'Water Source Heat Pumps'!O16)</f>
        <v/>
      </c>
      <c r="BF30" s="10" t="str">
        <f>IF(B30="", "", 'Water Source Heat Pumps'!P16)</f>
        <v/>
      </c>
      <c r="BG30" s="9" t="str">
        <f>IF(B30="", "", 'Water Source Heat Pumps'!AS16)</f>
        <v/>
      </c>
      <c r="BH30" s="29" t="str">
        <f>IF(B30="", "", 'Water Source Heat Pumps'!AT16)</f>
        <v/>
      </c>
      <c r="BI30" s="45" t="str">
        <f>IF(B30="", "", 'Water Source Heat Pumps'!S16)</f>
        <v/>
      </c>
      <c r="BJ30" s="9" t="str">
        <f>IF(B30="", "", 'Water Source Heat Pumps'!AL16)</f>
        <v/>
      </c>
      <c r="BK30" s="44" t="str">
        <f>IF(B30="", "", 'Water Source Heat Pumps'!AM16)</f>
        <v/>
      </c>
      <c r="BL30" s="44" t="str">
        <f>IF(B30="", "", 'Water Source Heat Pumps'!AN16)</f>
        <v/>
      </c>
      <c r="BM30" s="205" t="str">
        <f>IF(B30="", "", 'Water Source Heat Pumps'!AV16)</f>
        <v/>
      </c>
      <c r="BN30" s="205" t="str">
        <f>IF(B30="", "", 'Water Source Heat Pumps'!AW16)</f>
        <v/>
      </c>
      <c r="BO30" s="205" t="str">
        <f>IF(B30="", "",'Water Source Heat Pumps'!AX16)</f>
        <v/>
      </c>
      <c r="BP30" s="204" t="str">
        <f>IF(B30="", "",'Water Source Heat Pumps'!$C$59)</f>
        <v/>
      </c>
      <c r="BQ30" s="205" t="str">
        <f>IF(B30="", "", 'Water Source Heat Pumps'!BT16)</f>
        <v/>
      </c>
      <c r="BR30" s="205" t="str">
        <f>IF(B30="", "",'Water Source Heat Pumps'!BT16)</f>
        <v/>
      </c>
      <c r="BS30" s="205" t="str">
        <f>IF(B30="", "",'Water Source Heat Pumps'!BU16)</f>
        <v/>
      </c>
      <c r="BT30" s="44" t="str">
        <f>IF(B30="", "",'Water Source Heat Pumps'!BV16)</f>
        <v/>
      </c>
      <c r="BU30" s="44" t="str">
        <f>IF(B30="", "",'Water Source Heat Pumps'!BX16)</f>
        <v/>
      </c>
      <c r="BV30" s="10" t="str">
        <f>IF(B30="", "",'Water Source Heat Pumps'!BZ16)</f>
        <v/>
      </c>
    </row>
    <row r="31" spans="1:74">
      <c r="A31" s="9" t="str">
        <f>IF(B31="", "", 30)</f>
        <v/>
      </c>
      <c r="B31" s="42" t="str">
        <f>IF(OR('Water Source Heat Pumps'!D17="", 'Water Source Heat Pumps'!AA17="", 'Water Source Heat Pumps'!CB17="No"), "", 'Water Source Heat Pumps'!CC17)</f>
        <v/>
      </c>
      <c r="C31" s="9" t="str">
        <f>IF(B31="", "", 'Project Summary'!$C$7)</f>
        <v/>
      </c>
      <c r="D31" s="9" t="str">
        <f>IF(B31="", "", CONCATENATE('Project Summary'!$C$4, " - ", 'Project Summary'!$C$7))</f>
        <v/>
      </c>
      <c r="E31" s="6" t="str">
        <f t="shared" si="3"/>
        <v/>
      </c>
      <c r="F31" s="9" t="str">
        <f>IF(B31="", "", 'Project Summary'!$C$8)</f>
        <v/>
      </c>
      <c r="G31" s="9" t="str">
        <f>IF(B31="", "", 'Water Source Heat Pumps'!CE17)</f>
        <v/>
      </c>
      <c r="H31" s="9" t="str">
        <f t="shared" si="2"/>
        <v/>
      </c>
      <c r="I31" s="10" t="str">
        <f>IF(B31="", "", 'Lookup Tables'!$C$2)</f>
        <v/>
      </c>
      <c r="J31" s="9" t="str">
        <f>IF(B31="", "", 'Water Source Heat Pumps'!D17)</f>
        <v/>
      </c>
      <c r="K31" s="9" t="str">
        <f>IF(B31="", "", 'Water Source Heat Pumps'!Z17)</f>
        <v/>
      </c>
      <c r="L31" s="204" t="str">
        <f>IF(B31="", "", 'Water Source Heat Pumps'!CD17)</f>
        <v/>
      </c>
      <c r="M31" s="204" t="str">
        <f>IF(B31="", "", 'Water Source Heat Pumps'!C17)</f>
        <v/>
      </c>
      <c r="N31" s="9" t="str">
        <f>IF(B31="", "", 'Water Source Heat Pumps'!V17)</f>
        <v/>
      </c>
      <c r="O31" s="9" t="str">
        <f>IF(B31="", "", 'Water Source Heat Pumps'!E17)</f>
        <v/>
      </c>
      <c r="P31" s="9" t="str">
        <f>IF(B31="", "", 'Water Source Heat Pumps'!W17)</f>
        <v/>
      </c>
      <c r="Q31" s="9" t="str">
        <f>IF(B31="", "", 'Water Source Heat Pumps'!X17)</f>
        <v/>
      </c>
      <c r="R31" s="9" t="str">
        <f>IF(B31="", "", 'Water Source Heat Pumps'!AA17)</f>
        <v/>
      </c>
      <c r="S31" s="9" t="str">
        <f>IF(B31="", "", 'Water Source Heat Pumps'!AB17)</f>
        <v/>
      </c>
      <c r="T31" s="9" t="str">
        <f>IF(B31="", "", 'Water Source Heat Pumps'!T17)</f>
        <v/>
      </c>
      <c r="U31" s="9" t="str">
        <f>IF(B31="", "", 'Water Source Heat Pumps'!I17)</f>
        <v/>
      </c>
      <c r="Y31" s="202" t="str">
        <f>IF(OR(B31="",'Water Source Heat Pumps'!H17=""), "", 'Water Source Heat Pumps'!H17)</f>
        <v/>
      </c>
      <c r="AA31" s="29" t="str">
        <f>IF(B31="", "", 'Water Source Heat Pumps'!BI17)</f>
        <v/>
      </c>
      <c r="AD31" s="29" t="str">
        <f>IF(B31="", "", 'Water Source Heat Pumps'!BM17)</f>
        <v/>
      </c>
      <c r="AG31" s="29" t="str">
        <f>IF(B31="", "", 'Water Source Heat Pumps'!AG17)</f>
        <v/>
      </c>
      <c r="AJ31" s="29" t="str">
        <f>IF(B31="", "", 'Water Source Heat Pumps'!BJ17)</f>
        <v/>
      </c>
      <c r="AP31" s="45" t="str">
        <f>IF(B31="", "", 'Water Source Heat Pumps'!AH17)</f>
        <v/>
      </c>
      <c r="AQ31" s="45" t="str">
        <f>IF(B31="", "", 'Water Source Heat Pumps'!AH17)</f>
        <v/>
      </c>
      <c r="AS31" s="29" t="str">
        <f>IF(B31="", "", 'Water Source Heat Pumps'!BK17)</f>
        <v/>
      </c>
      <c r="AT31" s="29" t="str">
        <f>IF(OR(B31="", 'Water Source Heat Pumps'!BL17="-"), "", 'Water Source Heat Pumps'!BL17)</f>
        <v/>
      </c>
      <c r="AV31" s="29" t="str">
        <f>IF(B31="", "", 'Water Source Heat Pumps'!BN17)</f>
        <v/>
      </c>
      <c r="AW31" s="29" t="str">
        <f>IF(B31="", "", 'Water Source Heat Pumps'!AK17)</f>
        <v/>
      </c>
      <c r="AX31" s="29" t="str">
        <f>IF(B31="", "", 'Water Source Heat Pumps'!AK17)</f>
        <v/>
      </c>
      <c r="AY31" s="9" t="str">
        <f>IF(B31="", "", 'Water Source Heat Pumps'!AY17)</f>
        <v/>
      </c>
      <c r="AZ31" s="204" t="str">
        <f>IF(B31="", "", 'Water Source Heat Pumps'!AZ17)</f>
        <v/>
      </c>
      <c r="BA31" s="9" t="str">
        <f>IF(B31="", "", 'Water Source Heat Pumps'!BA17)</f>
        <v/>
      </c>
      <c r="BB31" s="10" t="str">
        <f>IF(B31="", "", 'Water Source Heat Pumps'!BA17)</f>
        <v/>
      </c>
      <c r="BC31" s="10" t="str">
        <f>IF(B31="", "", 'Water Source Heat Pumps'!BB17)</f>
        <v/>
      </c>
      <c r="BD31" s="10" t="str">
        <f>IF(B31="", "", 'Water Source Heat Pumps'!N17)</f>
        <v/>
      </c>
      <c r="BE31" s="10" t="str">
        <f>IF(B31="", "", 'Water Source Heat Pumps'!O17)</f>
        <v/>
      </c>
      <c r="BF31" s="10" t="str">
        <f>IF(B31="", "", 'Water Source Heat Pumps'!P17)</f>
        <v/>
      </c>
      <c r="BG31" s="9" t="str">
        <f>IF(B31="", "", 'Water Source Heat Pumps'!AS17)</f>
        <v/>
      </c>
      <c r="BH31" s="29" t="str">
        <f>IF(B31="", "", 'Water Source Heat Pumps'!AT17)</f>
        <v/>
      </c>
      <c r="BI31" s="45" t="str">
        <f>IF(B31="", "", 'Water Source Heat Pumps'!S17)</f>
        <v/>
      </c>
      <c r="BJ31" s="9" t="str">
        <f>IF(B31="", "", 'Water Source Heat Pumps'!AL17)</f>
        <v/>
      </c>
      <c r="BK31" s="44" t="str">
        <f>IF(B31="", "", 'Water Source Heat Pumps'!AM17)</f>
        <v/>
      </c>
      <c r="BL31" s="44" t="str">
        <f>IF(B31="", "", 'Water Source Heat Pumps'!AN17)</f>
        <v/>
      </c>
      <c r="BM31" s="205" t="str">
        <f>IF(B31="", "", 'Water Source Heat Pumps'!AV17)</f>
        <v/>
      </c>
      <c r="BN31" s="205" t="str">
        <f>IF(B31="", "", 'Water Source Heat Pumps'!AW17)</f>
        <v/>
      </c>
      <c r="BO31" s="205" t="str">
        <f>IF(B31="", "",'Water Source Heat Pumps'!AX17)</f>
        <v/>
      </c>
      <c r="BP31" s="204" t="str">
        <f>IF(B31="", "",'Water Source Heat Pumps'!$C$59)</f>
        <v/>
      </c>
      <c r="BQ31" s="205" t="str">
        <f>IF(B31="", "", 'Water Source Heat Pumps'!BT17)</f>
        <v/>
      </c>
      <c r="BR31" s="205" t="str">
        <f>IF(B31="", "",'Water Source Heat Pumps'!BT17)</f>
        <v/>
      </c>
      <c r="BS31" s="205" t="str">
        <f>IF(B31="", "",'Water Source Heat Pumps'!BU17)</f>
        <v/>
      </c>
      <c r="BT31" s="44" t="str">
        <f>IF(B31="", "",'Water Source Heat Pumps'!BV17)</f>
        <v/>
      </c>
      <c r="BU31" s="44" t="str">
        <f>IF(B31="", "",'Water Source Heat Pumps'!BX17)</f>
        <v/>
      </c>
      <c r="BV31" s="10" t="str">
        <f>IF(B31="", "",'Water Source Heat Pumps'!BZ17)</f>
        <v/>
      </c>
    </row>
    <row r="32" spans="1:74">
      <c r="A32" s="9" t="str">
        <f>IF(B32="", "", 31)</f>
        <v/>
      </c>
      <c r="B32" s="42" t="str">
        <f>IF(OR('Water Source Heat Pumps'!D18="", 'Water Source Heat Pumps'!AA18="", 'Water Source Heat Pumps'!CB18="No"), "", 'Water Source Heat Pumps'!CC18)</f>
        <v/>
      </c>
      <c r="C32" s="9" t="str">
        <f>IF(B32="", "", 'Project Summary'!$C$7)</f>
        <v/>
      </c>
      <c r="D32" s="9" t="str">
        <f>IF(B32="", "", CONCATENATE('Project Summary'!$C$4, " - ", 'Project Summary'!$C$7))</f>
        <v/>
      </c>
      <c r="E32" s="6" t="str">
        <f t="shared" si="3"/>
        <v/>
      </c>
      <c r="F32" s="9" t="str">
        <f>IF(B32="", "", 'Project Summary'!$C$8)</f>
        <v/>
      </c>
      <c r="G32" s="9" t="str">
        <f>IF(B32="", "", 'Water Source Heat Pumps'!CE18)</f>
        <v/>
      </c>
      <c r="H32" s="9" t="str">
        <f t="shared" si="2"/>
        <v/>
      </c>
      <c r="I32" s="10" t="str">
        <f>IF(B32="", "", 'Lookup Tables'!$C$2)</f>
        <v/>
      </c>
      <c r="J32" s="9" t="str">
        <f>IF(B32="", "", 'Water Source Heat Pumps'!D18)</f>
        <v/>
      </c>
      <c r="K32" s="9" t="str">
        <f>IF(B32="", "", 'Water Source Heat Pumps'!Z18)</f>
        <v/>
      </c>
      <c r="L32" s="204" t="str">
        <f>IF(B32="", "", 'Water Source Heat Pumps'!CD18)</f>
        <v/>
      </c>
      <c r="M32" s="204" t="str">
        <f>IF(B32="", "", 'Water Source Heat Pumps'!C18)</f>
        <v/>
      </c>
      <c r="N32" s="9" t="str">
        <f>IF(B32="", "", 'Water Source Heat Pumps'!V18)</f>
        <v/>
      </c>
      <c r="O32" s="9" t="str">
        <f>IF(B32="", "", 'Water Source Heat Pumps'!E18)</f>
        <v/>
      </c>
      <c r="P32" s="9" t="str">
        <f>IF(B32="", "", 'Water Source Heat Pumps'!W18)</f>
        <v/>
      </c>
      <c r="Q32" s="9" t="str">
        <f>IF(B32="", "", 'Water Source Heat Pumps'!X18)</f>
        <v/>
      </c>
      <c r="R32" s="9" t="str">
        <f>IF(B32="", "", 'Water Source Heat Pumps'!AA18)</f>
        <v/>
      </c>
      <c r="S32" s="9" t="str">
        <f>IF(B32="", "", 'Water Source Heat Pumps'!AB18)</f>
        <v/>
      </c>
      <c r="T32" s="9" t="str">
        <f>IF(B32="", "", 'Water Source Heat Pumps'!T18)</f>
        <v/>
      </c>
      <c r="U32" s="9" t="str">
        <f>IF(B32="", "", 'Water Source Heat Pumps'!I18)</f>
        <v/>
      </c>
      <c r="Y32" s="202" t="str">
        <f>IF(OR(B32="",'Water Source Heat Pumps'!H18=""), "", 'Water Source Heat Pumps'!H18)</f>
        <v/>
      </c>
      <c r="AA32" s="29" t="str">
        <f>IF(B32="", "", 'Water Source Heat Pumps'!BI18)</f>
        <v/>
      </c>
      <c r="AD32" s="29" t="str">
        <f>IF(B32="", "", 'Water Source Heat Pumps'!BM18)</f>
        <v/>
      </c>
      <c r="AG32" s="29" t="str">
        <f>IF(B32="", "", 'Water Source Heat Pumps'!AG18)</f>
        <v/>
      </c>
      <c r="AJ32" s="29" t="str">
        <f>IF(B32="", "", 'Water Source Heat Pumps'!BJ18)</f>
        <v/>
      </c>
      <c r="AP32" s="45" t="str">
        <f>IF(B32="", "", 'Water Source Heat Pumps'!AH18)</f>
        <v/>
      </c>
      <c r="AQ32" s="45" t="str">
        <f>IF(B32="", "", 'Water Source Heat Pumps'!AH18)</f>
        <v/>
      </c>
      <c r="AS32" s="29" t="str">
        <f>IF(B32="", "", 'Water Source Heat Pumps'!BK18)</f>
        <v/>
      </c>
      <c r="AT32" s="29" t="str">
        <f>IF(OR(B32="", 'Water Source Heat Pumps'!BL18="-"), "", 'Water Source Heat Pumps'!BL18)</f>
        <v/>
      </c>
      <c r="AV32" s="29" t="str">
        <f>IF(B32="", "", 'Water Source Heat Pumps'!BN18)</f>
        <v/>
      </c>
      <c r="AW32" s="29" t="str">
        <f>IF(B32="", "", 'Water Source Heat Pumps'!AK18)</f>
        <v/>
      </c>
      <c r="AX32" s="29" t="str">
        <f>IF(B32="", "", 'Water Source Heat Pumps'!AK18)</f>
        <v/>
      </c>
      <c r="AY32" s="9" t="str">
        <f>IF(B32="", "", 'Water Source Heat Pumps'!AY18)</f>
        <v/>
      </c>
      <c r="AZ32" s="204" t="str">
        <f>IF(B32="", "", 'Water Source Heat Pumps'!AZ18)</f>
        <v/>
      </c>
      <c r="BA32" s="9" t="str">
        <f>IF(B32="", "", 'Water Source Heat Pumps'!BA18)</f>
        <v/>
      </c>
      <c r="BB32" s="10" t="str">
        <f>IF(B32="", "", 'Water Source Heat Pumps'!BA18)</f>
        <v/>
      </c>
      <c r="BC32" s="10" t="str">
        <f>IF(B32="", "", 'Water Source Heat Pumps'!BB18)</f>
        <v/>
      </c>
      <c r="BD32" s="10" t="str">
        <f>IF(B32="", "", 'Water Source Heat Pumps'!N18)</f>
        <v/>
      </c>
      <c r="BE32" s="10" t="str">
        <f>IF(B32="", "", 'Water Source Heat Pumps'!O18)</f>
        <v/>
      </c>
      <c r="BF32" s="10" t="str">
        <f>IF(B32="", "", 'Water Source Heat Pumps'!P18)</f>
        <v/>
      </c>
      <c r="BG32" s="9" t="str">
        <f>IF(B32="", "", 'Water Source Heat Pumps'!AS18)</f>
        <v/>
      </c>
      <c r="BH32" s="29" t="str">
        <f>IF(B32="", "", 'Water Source Heat Pumps'!AT18)</f>
        <v/>
      </c>
      <c r="BI32" s="45" t="str">
        <f>IF(B32="", "", 'Water Source Heat Pumps'!S18)</f>
        <v/>
      </c>
      <c r="BJ32" s="9" t="str">
        <f>IF(B32="", "", 'Water Source Heat Pumps'!AL18)</f>
        <v/>
      </c>
      <c r="BK32" s="44" t="str">
        <f>IF(B32="", "", 'Water Source Heat Pumps'!AM18)</f>
        <v/>
      </c>
      <c r="BL32" s="44" t="str">
        <f>IF(B32="", "", 'Water Source Heat Pumps'!AN18)</f>
        <v/>
      </c>
      <c r="BM32" s="205" t="str">
        <f>IF(B32="", "", 'Water Source Heat Pumps'!AV18)</f>
        <v/>
      </c>
      <c r="BN32" s="205" t="str">
        <f>IF(B32="", "", 'Water Source Heat Pumps'!AW18)</f>
        <v/>
      </c>
      <c r="BO32" s="205" t="str">
        <f>IF(B32="", "",'Water Source Heat Pumps'!AX18)</f>
        <v/>
      </c>
      <c r="BP32" s="204" t="str">
        <f>IF(B32="", "",'Water Source Heat Pumps'!$C$59)</f>
        <v/>
      </c>
      <c r="BQ32" s="205" t="str">
        <f>IF(B32="", "", 'Water Source Heat Pumps'!BT18)</f>
        <v/>
      </c>
      <c r="BR32" s="205" t="str">
        <f>IF(B32="", "",'Water Source Heat Pumps'!BT18)</f>
        <v/>
      </c>
      <c r="BS32" s="205" t="str">
        <f>IF(B32="", "",'Water Source Heat Pumps'!BU18)</f>
        <v/>
      </c>
      <c r="BT32" s="44" t="str">
        <f>IF(B32="", "",'Water Source Heat Pumps'!BV18)</f>
        <v/>
      </c>
      <c r="BU32" s="44" t="str">
        <f>IF(B32="", "",'Water Source Heat Pumps'!BX18)</f>
        <v/>
      </c>
      <c r="BV32" s="10" t="str">
        <f>IF(B32="", "",'Water Source Heat Pumps'!BZ18)</f>
        <v/>
      </c>
    </row>
    <row r="33" spans="1:74">
      <c r="A33" s="9" t="str">
        <f>IF(B33="", "", 32)</f>
        <v/>
      </c>
      <c r="B33" s="42" t="str">
        <f>IF(OR('Water Source Heat Pumps'!D19="", 'Water Source Heat Pumps'!AA19="", 'Water Source Heat Pumps'!CB19="No"), "", 'Water Source Heat Pumps'!CC19)</f>
        <v/>
      </c>
      <c r="C33" s="9" t="str">
        <f>IF(B33="", "", 'Project Summary'!$C$7)</f>
        <v/>
      </c>
      <c r="D33" s="9" t="str">
        <f>IF(B33="", "", CONCATENATE('Project Summary'!$C$4, " - ", 'Project Summary'!$C$7))</f>
        <v/>
      </c>
      <c r="E33" s="6" t="str">
        <f t="shared" si="3"/>
        <v/>
      </c>
      <c r="F33" s="9" t="str">
        <f>IF(B33="", "", 'Project Summary'!$C$8)</f>
        <v/>
      </c>
      <c r="G33" s="9" t="str">
        <f>IF(B33="", "", 'Water Source Heat Pumps'!CE19)</f>
        <v/>
      </c>
      <c r="H33" s="9" t="str">
        <f t="shared" si="2"/>
        <v/>
      </c>
      <c r="I33" s="10" t="str">
        <f>IF(B33="", "", 'Lookup Tables'!$C$2)</f>
        <v/>
      </c>
      <c r="J33" s="9" t="str">
        <f>IF(B33="", "", 'Water Source Heat Pumps'!D19)</f>
        <v/>
      </c>
      <c r="K33" s="9" t="str">
        <f>IF(B33="", "", 'Water Source Heat Pumps'!Z19)</f>
        <v/>
      </c>
      <c r="L33" s="204" t="str">
        <f>IF(B33="", "", 'Water Source Heat Pumps'!CD19)</f>
        <v/>
      </c>
      <c r="M33" s="204" t="str">
        <f>IF(B33="", "", 'Water Source Heat Pumps'!C19)</f>
        <v/>
      </c>
      <c r="N33" s="9" t="str">
        <f>IF(B33="", "", 'Water Source Heat Pumps'!V19)</f>
        <v/>
      </c>
      <c r="O33" s="9" t="str">
        <f>IF(B33="", "", 'Water Source Heat Pumps'!E19)</f>
        <v/>
      </c>
      <c r="P33" s="9" t="str">
        <f>IF(B33="", "", 'Water Source Heat Pumps'!W19)</f>
        <v/>
      </c>
      <c r="Q33" s="9" t="str">
        <f>IF(B33="", "", 'Water Source Heat Pumps'!X19)</f>
        <v/>
      </c>
      <c r="R33" s="9" t="str">
        <f>IF(B33="", "", 'Water Source Heat Pumps'!AA19)</f>
        <v/>
      </c>
      <c r="S33" s="9" t="str">
        <f>IF(B33="", "", 'Water Source Heat Pumps'!AB19)</f>
        <v/>
      </c>
      <c r="T33" s="9" t="str">
        <f>IF(B33="", "", 'Water Source Heat Pumps'!T19)</f>
        <v/>
      </c>
      <c r="U33" s="9" t="str">
        <f>IF(B33="", "", 'Water Source Heat Pumps'!I19)</f>
        <v/>
      </c>
      <c r="Y33" s="202" t="str">
        <f>IF(OR(B33="",'Water Source Heat Pumps'!H19=""), "", 'Water Source Heat Pumps'!H19)</f>
        <v/>
      </c>
      <c r="AA33" s="29" t="str">
        <f>IF(B33="", "", 'Water Source Heat Pumps'!BI19)</f>
        <v/>
      </c>
      <c r="AD33" s="29" t="str">
        <f>IF(B33="", "", 'Water Source Heat Pumps'!BM19)</f>
        <v/>
      </c>
      <c r="AG33" s="29" t="str">
        <f>IF(B33="", "", 'Water Source Heat Pumps'!AG19)</f>
        <v/>
      </c>
      <c r="AJ33" s="29" t="str">
        <f>IF(B33="", "", 'Water Source Heat Pumps'!BJ19)</f>
        <v/>
      </c>
      <c r="AP33" s="45" t="str">
        <f>IF(B33="", "", 'Water Source Heat Pumps'!AH19)</f>
        <v/>
      </c>
      <c r="AQ33" s="45" t="str">
        <f>IF(B33="", "", 'Water Source Heat Pumps'!AH19)</f>
        <v/>
      </c>
      <c r="AR33" s="29" t="s">
        <v>1010</v>
      </c>
      <c r="AS33" s="29" t="str">
        <f>IF(B33="", "", 'Water Source Heat Pumps'!BK19)</f>
        <v/>
      </c>
      <c r="AT33" s="29" t="str">
        <f>IF(OR(B33="", 'Water Source Heat Pumps'!BL19="-"), "", 'Water Source Heat Pumps'!BL19)</f>
        <v/>
      </c>
      <c r="AV33" s="29" t="str">
        <f>IF(B33="", "", 'Water Source Heat Pumps'!BN19)</f>
        <v/>
      </c>
      <c r="AW33" s="29" t="str">
        <f>IF(B33="", "", 'Water Source Heat Pumps'!AK19)</f>
        <v/>
      </c>
      <c r="AX33" s="29" t="str">
        <f>IF(B33="", "", 'Water Source Heat Pumps'!AK19)</f>
        <v/>
      </c>
      <c r="AY33" s="9" t="str">
        <f>IF(B33="", "", 'Water Source Heat Pumps'!AY19)</f>
        <v/>
      </c>
      <c r="AZ33" s="204" t="str">
        <f>IF(B33="", "", 'Water Source Heat Pumps'!AZ19)</f>
        <v/>
      </c>
      <c r="BA33" s="9" t="str">
        <f>IF(B33="", "", 'Water Source Heat Pumps'!BA19)</f>
        <v/>
      </c>
      <c r="BB33" s="10" t="str">
        <f>IF(B33="", "", 'Water Source Heat Pumps'!BA19)</f>
        <v/>
      </c>
      <c r="BC33" s="10" t="str">
        <f>IF(B33="", "", 'Water Source Heat Pumps'!BB19)</f>
        <v/>
      </c>
      <c r="BD33" s="10" t="str">
        <f>IF(B33="", "", 'Water Source Heat Pumps'!N19)</f>
        <v/>
      </c>
      <c r="BE33" s="10" t="str">
        <f>IF(B33="", "", 'Water Source Heat Pumps'!O19)</f>
        <v/>
      </c>
      <c r="BF33" s="10" t="str">
        <f>IF(B33="", "", 'Water Source Heat Pumps'!P19)</f>
        <v/>
      </c>
      <c r="BG33" s="9" t="str">
        <f>IF(B33="", "", 'Water Source Heat Pumps'!AS19)</f>
        <v/>
      </c>
      <c r="BH33" s="29" t="str">
        <f>IF(B33="", "", 'Water Source Heat Pumps'!AT19)</f>
        <v/>
      </c>
      <c r="BI33" s="45" t="str">
        <f>IF(B33="", "", 'Water Source Heat Pumps'!S19)</f>
        <v/>
      </c>
      <c r="BJ33" s="9" t="str">
        <f>IF(B33="", "", 'Water Source Heat Pumps'!AL19)</f>
        <v/>
      </c>
      <c r="BK33" s="44" t="str">
        <f>IF(B33="", "", 'Water Source Heat Pumps'!AM19)</f>
        <v/>
      </c>
      <c r="BL33" s="44" t="str">
        <f>IF(B33="", "", 'Water Source Heat Pumps'!AN19)</f>
        <v/>
      </c>
      <c r="BM33" s="205" t="str">
        <f>IF(B33="", "", 'Water Source Heat Pumps'!AV19)</f>
        <v/>
      </c>
      <c r="BN33" s="205" t="str">
        <f>IF(B33="", "", 'Water Source Heat Pumps'!AW19)</f>
        <v/>
      </c>
      <c r="BO33" s="205" t="str">
        <f>IF(B33="", "",'Water Source Heat Pumps'!AX19)</f>
        <v/>
      </c>
      <c r="BP33" s="204" t="str">
        <f>IF(B33="", "",'Water Source Heat Pumps'!$C$59)</f>
        <v/>
      </c>
      <c r="BQ33" s="205" t="str">
        <f>IF(B33="", "", 'Water Source Heat Pumps'!BT19)</f>
        <v/>
      </c>
      <c r="BR33" s="205" t="str">
        <f>IF(B33="", "",'Water Source Heat Pumps'!BT19)</f>
        <v/>
      </c>
      <c r="BS33" s="205" t="str">
        <f>IF(B33="", "",'Water Source Heat Pumps'!BU19)</f>
        <v/>
      </c>
      <c r="BT33" s="44" t="str">
        <f>IF(B33="", "",'Water Source Heat Pumps'!BV19)</f>
        <v/>
      </c>
      <c r="BU33" s="44" t="str">
        <f>IF(B33="", "",'Water Source Heat Pumps'!BX19)</f>
        <v/>
      </c>
      <c r="BV33" s="10" t="str">
        <f>IF(B33="", "",'Water Source Heat Pumps'!BZ19)</f>
        <v/>
      </c>
    </row>
    <row r="34" spans="1:74">
      <c r="A34" s="9" t="str">
        <f>IF(B34="", "", 33)</f>
        <v/>
      </c>
      <c r="B34" s="42" t="str">
        <f>IF(OR('Ductless Mini Splits'!D11="", 'Ductless Mini Splits'!Q11="", 'Ductless Mini Splits'!AR11="No"), "", 'Ductless Mini Splits'!AS11)</f>
        <v/>
      </c>
      <c r="C34" s="9" t="str">
        <f>IF(B34="", "", 'Project Summary'!$C$7)</f>
        <v/>
      </c>
      <c r="D34" s="9" t="str">
        <f>IF(B34="", "", CONCATENATE('Project Summary'!$C$4, " - ", 'Project Summary'!$C$7))</f>
        <v/>
      </c>
      <c r="E34" s="6" t="str">
        <f t="shared" ref="E34:E41" si="4">IF(B34="", "", "FPHVPR")</f>
        <v/>
      </c>
      <c r="F34" s="9" t="str">
        <f>IF(B34="", "", 'Project Summary'!$C$8)</f>
        <v/>
      </c>
      <c r="G34" s="9" t="str">
        <f>IF(B34="", "",'Ductless Mini Splits'!AU11)</f>
        <v/>
      </c>
      <c r="H34" s="9" t="str">
        <f t="shared" ref="H34:H41" si="5">IF(B34="", "", CONCATENATE(C34, A34))</f>
        <v/>
      </c>
      <c r="I34" s="10" t="str">
        <f>IF(B34="", "", 'Lookup Tables'!$C$2)</f>
        <v/>
      </c>
      <c r="J34" s="9" t="str">
        <f>IF(B34="", "", 'Ductless Mini Splits'!D11)</f>
        <v/>
      </c>
      <c r="K34" s="9" t="str">
        <f>IF(B34="", "", 'Ductless Mini Splits'!M11)</f>
        <v/>
      </c>
      <c r="L34" s="204" t="str">
        <f>IF(B34="", "", 'Ductless Mini Splits'!AT11)</f>
        <v/>
      </c>
      <c r="M34" s="204" t="str">
        <f>IF(B34="", "", 'Ductless Mini Splits'!S11)</f>
        <v/>
      </c>
      <c r="N34" s="9" t="str">
        <f>IF(B34="", "", 'Ductless Mini Splits'!C11)</f>
        <v/>
      </c>
      <c r="O34" s="9" t="str">
        <f>IF(B34="", "", 'Ductless Mini Splits'!E11)</f>
        <v/>
      </c>
      <c r="P34" s="9" t="str">
        <f>IF(B34="", "", 'Ductless Mini Splits'!N11)</f>
        <v/>
      </c>
      <c r="Q34" s="9" t="str">
        <f>IF(B34="", "", 'Ductless Mini Splits'!O11)</f>
        <v/>
      </c>
      <c r="R34" s="9" t="str">
        <f>IF(B34="", "", 'Ductless Mini Splits'!Q11)</f>
        <v/>
      </c>
      <c r="S34" s="9" t="str">
        <f>IF(B34="", "", 'Ductless Mini Splits'!R11)</f>
        <v/>
      </c>
      <c r="T34" s="9" t="str">
        <f>IF(B34="", "", 'Ductless Mini Splits'!K11)</f>
        <v/>
      </c>
      <c r="W34" s="9" t="str">
        <f>IF(OR(B34="", 'Ductless Mini Splits'!I11=""), "", 'Ductless Mini Splits'!I11)</f>
        <v/>
      </c>
      <c r="X34" s="9" t="str">
        <f>IF(OR(B34="", 'Ductless Mini Splits'!J11=""), "", 'Ductless Mini Splits'!J11)</f>
        <v/>
      </c>
      <c r="Z34" s="29" t="str">
        <f>IF(B34="", "", 'Ductless Mini Splits'!W11)</f>
        <v/>
      </c>
      <c r="AC34" s="29" t="str">
        <f>IF(B34="", "", 'Ductless Mini Splits'!$H$25)</f>
        <v/>
      </c>
      <c r="AF34" s="29" t="str">
        <f>IF(B34="", "", 'Ductless Mini Splits'!AF11)</f>
        <v/>
      </c>
      <c r="AI34" s="29" t="str">
        <f>IF(B34="", "", 'Ductless Mini Splits'!W11)</f>
        <v/>
      </c>
      <c r="AL34" s="29" t="str">
        <f>IF(B34="", "", 'Ductless Mini Splits'!$H$25)</f>
        <v/>
      </c>
      <c r="AO34" s="45" t="str">
        <f>IF(B34="", "", 'Ductless Mini Splits'!AF11)</f>
        <v/>
      </c>
      <c r="AS34" s="29" t="str">
        <f>IF(B34="", "", 'Ductless Mini Splits'!X11)</f>
        <v/>
      </c>
      <c r="AW34" s="29" t="str">
        <f>IF(B34="", "", 'Ductless Mini Splits'!AJ11)</f>
        <v/>
      </c>
      <c r="AY34" s="9" t="str">
        <f>IF(B34="", "", 'Ductless Mini Splits'!U11)</f>
        <v/>
      </c>
      <c r="AZ34" s="204" t="str">
        <f>IF(B34="", "", 'Ductless Mini Splits'!V11)</f>
        <v/>
      </c>
      <c r="BC34" s="10" t="str">
        <f>IF(B34="", "", 'Ductless Mini Splits'!T11)</f>
        <v/>
      </c>
      <c r="BM34" s="205"/>
      <c r="BN34" s="205"/>
      <c r="BO34" s="205"/>
      <c r="BP34" s="204" t="str">
        <f>IF(B34="", "", 'Ductless Mini Splits'!$E$23)</f>
        <v/>
      </c>
      <c r="BQ34" s="205" t="str">
        <f>IF(B34="", "",'Ductless Mini Splits'!AL11)</f>
        <v/>
      </c>
      <c r="BR34" s="205" t="str">
        <f>IF(B34="", "", 'Ductless Mini Splits'!AL11)</f>
        <v/>
      </c>
      <c r="BS34" s="205" t="str">
        <f>IF(B34="", "", 'Ductless Mini Splits'!AM11)</f>
        <v/>
      </c>
      <c r="BT34" s="44" t="str">
        <f>IF(B34="", "", 'Ductless Mini Splits'!AN11)</f>
        <v/>
      </c>
      <c r="BU34" s="44" t="str">
        <f>IF(B34="", "", 'Ductless Mini Splits'!AO11)</f>
        <v/>
      </c>
      <c r="BV34" s="10" t="str">
        <f>IF(B34="", "", 'Ductless Mini Splits'!AQ11)</f>
        <v/>
      </c>
    </row>
    <row r="35" spans="1:74">
      <c r="A35" s="9" t="str">
        <f>IF(B35="", "", 34)</f>
        <v/>
      </c>
      <c r="B35" s="42" t="str">
        <f>IF(OR('Ductless Mini Splits'!D12="", 'Ductless Mini Splits'!Q12="", 'Ductless Mini Splits'!AR12="No"), "", 'Ductless Mini Splits'!AS12)</f>
        <v/>
      </c>
      <c r="C35" s="9" t="str">
        <f>IF(B35="", "", 'Project Summary'!$C$7)</f>
        <v/>
      </c>
      <c r="D35" s="9" t="str">
        <f>IF(B35="", "", CONCATENATE('Project Summary'!$C$4, " - ", 'Project Summary'!$C$7))</f>
        <v/>
      </c>
      <c r="E35" s="6" t="str">
        <f t="shared" si="4"/>
        <v/>
      </c>
      <c r="F35" s="9" t="str">
        <f>IF(B35="", "", 'Project Summary'!$C$8)</f>
        <v/>
      </c>
      <c r="G35" s="9" t="str">
        <f>IF(B35="", "",'Ductless Mini Splits'!AU12)</f>
        <v/>
      </c>
      <c r="H35" s="9" t="str">
        <f t="shared" si="5"/>
        <v/>
      </c>
      <c r="I35" s="10" t="str">
        <f>IF(B35="", "", 'Lookup Tables'!$C$2)</f>
        <v/>
      </c>
      <c r="J35" s="9" t="str">
        <f>IF(B35="", "", 'Ductless Mini Splits'!D12)</f>
        <v/>
      </c>
      <c r="K35" s="9" t="str">
        <f>IF(B35="", "", 'Ductless Mini Splits'!M12)</f>
        <v/>
      </c>
      <c r="L35" s="204" t="str">
        <f>IF(B35="", "", 'Ductless Mini Splits'!AT12)</f>
        <v/>
      </c>
      <c r="M35" s="204" t="str">
        <f>IF(B35="", "", 'Ductless Mini Splits'!S12)</f>
        <v/>
      </c>
      <c r="N35" s="9" t="str">
        <f>IF(B35="", "", 'Ductless Mini Splits'!C12)</f>
        <v/>
      </c>
      <c r="O35" s="9" t="str">
        <f>IF(B35="", "", 'Ductless Mini Splits'!E12)</f>
        <v/>
      </c>
      <c r="P35" s="9" t="str">
        <f>IF(B35="", "", 'Ductless Mini Splits'!N12)</f>
        <v/>
      </c>
      <c r="Q35" s="9" t="str">
        <f>IF(B35="", "", 'Ductless Mini Splits'!O12)</f>
        <v/>
      </c>
      <c r="R35" s="9" t="str">
        <f>IF(B35="", "", 'Ductless Mini Splits'!Q12)</f>
        <v/>
      </c>
      <c r="S35" s="9" t="str">
        <f>IF(B35="", "", 'Ductless Mini Splits'!R12)</f>
        <v/>
      </c>
      <c r="T35" s="9" t="str">
        <f>IF(B35="", "", 'Ductless Mini Splits'!K12)</f>
        <v/>
      </c>
      <c r="W35" s="9" t="str">
        <f>IF(OR(B35="", 'Ductless Mini Splits'!I12=""), "", 'Ductless Mini Splits'!I12)</f>
        <v/>
      </c>
      <c r="X35" s="9" t="str">
        <f>IF(OR(B35="", 'Ductless Mini Splits'!J12=""), "", 'Ductless Mini Splits'!J12)</f>
        <v/>
      </c>
      <c r="Z35" s="29" t="str">
        <f>IF(B35="", "", 'Ductless Mini Splits'!W12)</f>
        <v/>
      </c>
      <c r="AC35" s="29" t="str">
        <f>IF(B35="", "", 'Ductless Mini Splits'!$H$25)</f>
        <v/>
      </c>
      <c r="AF35" s="29" t="str">
        <f>IF(B35="", "", 'Ductless Mini Splits'!AF12)</f>
        <v/>
      </c>
      <c r="AI35" s="29" t="str">
        <f>IF(B35="", "", 'Ductless Mini Splits'!W12)</f>
        <v/>
      </c>
      <c r="AL35" s="29" t="str">
        <f>IF(B35="", "", 'Ductless Mini Splits'!$H$25)</f>
        <v/>
      </c>
      <c r="AO35" s="45" t="str">
        <f>IF(B35="", "", 'Ductless Mini Splits'!AF12)</f>
        <v/>
      </c>
      <c r="AS35" s="29" t="str">
        <f>IF(B35="", "", 'Ductless Mini Splits'!X12)</f>
        <v/>
      </c>
      <c r="AW35" s="29" t="str">
        <f>IF(B35="", "", 'Ductless Mini Splits'!AJ12)</f>
        <v/>
      </c>
      <c r="AY35" s="9" t="str">
        <f>IF(B35="", "", 'Ductless Mini Splits'!U12)</f>
        <v/>
      </c>
      <c r="AZ35" s="204" t="str">
        <f>IF(B35="", "", 'Ductless Mini Splits'!V12)</f>
        <v/>
      </c>
      <c r="BC35" s="10" t="str">
        <f>IF(B35="", "", 'Ductless Mini Splits'!T12)</f>
        <v/>
      </c>
      <c r="BM35" s="205"/>
      <c r="BN35" s="205"/>
      <c r="BO35" s="205"/>
      <c r="BP35" s="204" t="str">
        <f>IF(B35="", "", 'Ductless Mini Splits'!$E$23)</f>
        <v/>
      </c>
      <c r="BQ35" s="205" t="str">
        <f>IF(B35="", "",'Ductless Mini Splits'!AL12)</f>
        <v/>
      </c>
      <c r="BR35" s="205" t="str">
        <f>IF(B35="", "", 'Ductless Mini Splits'!AL12)</f>
        <v/>
      </c>
      <c r="BS35" s="205" t="str">
        <f>IF(B35="", "", 'Ductless Mini Splits'!AM12)</f>
        <v/>
      </c>
      <c r="BT35" s="44" t="str">
        <f>IF(B35="", "", 'Ductless Mini Splits'!AN12)</f>
        <v/>
      </c>
      <c r="BU35" s="44" t="str">
        <f>IF(B35="", "", 'Ductless Mini Splits'!AO12)</f>
        <v/>
      </c>
      <c r="BV35" s="10" t="str">
        <f>IF(B35="", "", 'Ductless Mini Splits'!AQ12)</f>
        <v/>
      </c>
    </row>
    <row r="36" spans="1:74">
      <c r="A36" s="9" t="str">
        <f>IF(B36="", "", 35)</f>
        <v/>
      </c>
      <c r="B36" s="42" t="str">
        <f>IF(OR('Ductless Mini Splits'!D13="", 'Ductless Mini Splits'!Q13="", 'Ductless Mini Splits'!AR13="No"), "", 'Ductless Mini Splits'!AS13)</f>
        <v/>
      </c>
      <c r="C36" s="9" t="str">
        <f>IF(B36="", "", 'Project Summary'!$C$7)</f>
        <v/>
      </c>
      <c r="D36" s="9" t="str">
        <f>IF(B36="", "", CONCATENATE('Project Summary'!$C$4, " - ", 'Project Summary'!$C$7))</f>
        <v/>
      </c>
      <c r="E36" s="6" t="str">
        <f t="shared" si="4"/>
        <v/>
      </c>
      <c r="F36" s="9" t="str">
        <f>IF(B36="", "", 'Project Summary'!$C$8)</f>
        <v/>
      </c>
      <c r="G36" s="9" t="str">
        <f>IF(B36="", "",'Ductless Mini Splits'!AU13)</f>
        <v/>
      </c>
      <c r="H36" s="9" t="str">
        <f t="shared" si="5"/>
        <v/>
      </c>
      <c r="I36" s="10" t="str">
        <f>IF(B36="", "", 'Lookup Tables'!$C$2)</f>
        <v/>
      </c>
      <c r="J36" s="9" t="str">
        <f>IF(B36="", "", 'Ductless Mini Splits'!D13)</f>
        <v/>
      </c>
      <c r="K36" s="9" t="str">
        <f>IF(B36="", "", 'Ductless Mini Splits'!M13)</f>
        <v/>
      </c>
      <c r="L36" s="204" t="str">
        <f>IF(B36="", "", 'Ductless Mini Splits'!AT13)</f>
        <v/>
      </c>
      <c r="M36" s="204" t="str">
        <f>IF(B36="", "", 'Ductless Mini Splits'!S13)</f>
        <v/>
      </c>
      <c r="N36" s="9" t="str">
        <f>IF(B36="", "", 'Ductless Mini Splits'!C13)</f>
        <v/>
      </c>
      <c r="O36" s="9" t="str">
        <f>IF(B36="", "", 'Ductless Mini Splits'!E13)</f>
        <v/>
      </c>
      <c r="P36" s="9" t="str">
        <f>IF(B36="", "", 'Ductless Mini Splits'!N13)</f>
        <v/>
      </c>
      <c r="Q36" s="9" t="str">
        <f>IF(B36="", "", 'Ductless Mini Splits'!O13)</f>
        <v/>
      </c>
      <c r="R36" s="9" t="str">
        <f>IF(B36="", "", 'Ductless Mini Splits'!Q13)</f>
        <v/>
      </c>
      <c r="S36" s="9" t="str">
        <f>IF(B36="", "", 'Ductless Mini Splits'!R13)</f>
        <v/>
      </c>
      <c r="T36" s="9" t="str">
        <f>IF(B36="", "", 'Ductless Mini Splits'!K13)</f>
        <v/>
      </c>
      <c r="W36" s="9" t="str">
        <f>IF(OR(B36="", 'Ductless Mini Splits'!I13=""), "", 'Ductless Mini Splits'!I13)</f>
        <v/>
      </c>
      <c r="X36" s="9" t="str">
        <f>IF(OR(B36="", 'Ductless Mini Splits'!J13=""), "", 'Ductless Mini Splits'!J13)</f>
        <v/>
      </c>
      <c r="Z36" s="29" t="str">
        <f>IF(B36="", "", 'Ductless Mini Splits'!W13)</f>
        <v/>
      </c>
      <c r="AC36" s="29" t="str">
        <f>IF(B36="", "", 'Ductless Mini Splits'!$H$25)</f>
        <v/>
      </c>
      <c r="AF36" s="29" t="str">
        <f>IF(B36="", "", 'Ductless Mini Splits'!AF13)</f>
        <v/>
      </c>
      <c r="AI36" s="29" t="str">
        <f>IF(B36="", "", 'Ductless Mini Splits'!W13)</f>
        <v/>
      </c>
      <c r="AL36" s="29" t="str">
        <f>IF(B36="", "", 'Ductless Mini Splits'!$H$25)</f>
        <v/>
      </c>
      <c r="AO36" s="45" t="str">
        <f>IF(B36="", "", 'Ductless Mini Splits'!AF13)</f>
        <v/>
      </c>
      <c r="AS36" s="29" t="str">
        <f>IF(B36="", "", 'Ductless Mini Splits'!X13)</f>
        <v/>
      </c>
      <c r="AW36" s="29" t="str">
        <f>IF(B36="", "", 'Ductless Mini Splits'!AJ13)</f>
        <v/>
      </c>
      <c r="AY36" s="9" t="str">
        <f>IF(B36="", "", 'Ductless Mini Splits'!U13)</f>
        <v/>
      </c>
      <c r="AZ36" s="204" t="str">
        <f>IF(B36="", "", 'Ductless Mini Splits'!V13)</f>
        <v/>
      </c>
      <c r="BC36" s="10" t="str">
        <f>IF(B36="", "", 'Ductless Mini Splits'!T13)</f>
        <v/>
      </c>
      <c r="BM36" s="205"/>
      <c r="BN36" s="205"/>
      <c r="BO36" s="205"/>
      <c r="BP36" s="204" t="str">
        <f>IF(B36="", "", 'Ductless Mini Splits'!$E$23)</f>
        <v/>
      </c>
      <c r="BQ36" s="205" t="str">
        <f>IF(B36="", "",'Ductless Mini Splits'!AL13)</f>
        <v/>
      </c>
      <c r="BR36" s="205" t="str">
        <f>IF(B36="", "", 'Ductless Mini Splits'!AL13)</f>
        <v/>
      </c>
      <c r="BS36" s="205" t="str">
        <f>IF(B36="", "", 'Ductless Mini Splits'!AM13)</f>
        <v/>
      </c>
      <c r="BT36" s="44" t="str">
        <f>IF(B36="", "", 'Ductless Mini Splits'!AN13)</f>
        <v/>
      </c>
      <c r="BU36" s="44" t="str">
        <f>IF(B36="", "", 'Ductless Mini Splits'!AO13)</f>
        <v/>
      </c>
      <c r="BV36" s="10" t="str">
        <f>IF(B36="", "", 'Ductless Mini Splits'!AQ13)</f>
        <v/>
      </c>
    </row>
    <row r="37" spans="1:74">
      <c r="A37" s="9" t="str">
        <f>IF(B37="", "", 36)</f>
        <v/>
      </c>
      <c r="B37" s="42" t="str">
        <f>IF(OR('Ductless Mini Splits'!D14="", 'Ductless Mini Splits'!Q14="", 'Ductless Mini Splits'!AR14="No"), "", 'Ductless Mini Splits'!AS14)</f>
        <v/>
      </c>
      <c r="C37" s="9" t="str">
        <f>IF(B37="", "", 'Project Summary'!$C$7)</f>
        <v/>
      </c>
      <c r="D37" s="9" t="str">
        <f>IF(B37="", "", CONCATENATE('Project Summary'!$C$4, " - ", 'Project Summary'!$C$7))</f>
        <v/>
      </c>
      <c r="E37" s="6" t="str">
        <f t="shared" si="4"/>
        <v/>
      </c>
      <c r="F37" s="9" t="str">
        <f>IF(B37="", "", 'Project Summary'!$C$8)</f>
        <v/>
      </c>
      <c r="G37" s="9" t="str">
        <f>IF(B37="", "",'Ductless Mini Splits'!AU14)</f>
        <v/>
      </c>
      <c r="H37" s="9" t="str">
        <f t="shared" si="5"/>
        <v/>
      </c>
      <c r="I37" s="10" t="str">
        <f>IF(B37="", "", 'Lookup Tables'!$C$2)</f>
        <v/>
      </c>
      <c r="J37" s="9" t="str">
        <f>IF(B37="", "", 'Ductless Mini Splits'!D14)</f>
        <v/>
      </c>
      <c r="K37" s="9" t="str">
        <f>IF(B37="", "", 'Ductless Mini Splits'!M14)</f>
        <v/>
      </c>
      <c r="L37" s="204" t="str">
        <f>IF(B37="", "", 'Ductless Mini Splits'!AT14)</f>
        <v/>
      </c>
      <c r="M37" s="204" t="str">
        <f>IF(B37="", "", 'Ductless Mini Splits'!S14)</f>
        <v/>
      </c>
      <c r="N37" s="9" t="str">
        <f>IF(B37="", "", 'Ductless Mini Splits'!C14)</f>
        <v/>
      </c>
      <c r="O37" s="9" t="str">
        <f>IF(B37="", "", 'Ductless Mini Splits'!E14)</f>
        <v/>
      </c>
      <c r="P37" s="9" t="str">
        <f>IF(B37="", "", 'Ductless Mini Splits'!N14)</f>
        <v/>
      </c>
      <c r="Q37" s="9" t="str">
        <f>IF(B37="", "", 'Ductless Mini Splits'!O14)</f>
        <v/>
      </c>
      <c r="R37" s="9" t="str">
        <f>IF(B37="", "", 'Ductless Mini Splits'!Q14)</f>
        <v/>
      </c>
      <c r="S37" s="9" t="str">
        <f>IF(B37="", "", 'Ductless Mini Splits'!R14)</f>
        <v/>
      </c>
      <c r="T37" s="9" t="str">
        <f>IF(B37="", "", 'Ductless Mini Splits'!K14)</f>
        <v/>
      </c>
      <c r="W37" s="9" t="str">
        <f>IF(OR(B37="", 'Ductless Mini Splits'!I14=""), "", 'Ductless Mini Splits'!I14)</f>
        <v/>
      </c>
      <c r="X37" s="9" t="str">
        <f>IF(OR(B37="", 'Ductless Mini Splits'!J14=""), "", 'Ductless Mini Splits'!J14)</f>
        <v/>
      </c>
      <c r="Z37" s="29" t="str">
        <f>IF(B37="", "", 'Ductless Mini Splits'!W14)</f>
        <v/>
      </c>
      <c r="AC37" s="29" t="str">
        <f>IF(B37="", "", 'Ductless Mini Splits'!$H$25)</f>
        <v/>
      </c>
      <c r="AF37" s="29" t="str">
        <f>IF(B37="", "", 'Ductless Mini Splits'!AF14)</f>
        <v/>
      </c>
      <c r="AI37" s="29" t="str">
        <f>IF(B37="", "", 'Ductless Mini Splits'!W14)</f>
        <v/>
      </c>
      <c r="AL37" s="29" t="str">
        <f>IF(B37="", "", 'Ductless Mini Splits'!$H$25)</f>
        <v/>
      </c>
      <c r="AO37" s="45" t="str">
        <f>IF(B37="", "", 'Ductless Mini Splits'!AF14)</f>
        <v/>
      </c>
      <c r="AS37" s="29" t="str">
        <f>IF(B37="", "", 'Ductless Mini Splits'!X14)</f>
        <v/>
      </c>
      <c r="AW37" s="29" t="str">
        <f>IF(B37="", "", 'Ductless Mini Splits'!AJ14)</f>
        <v/>
      </c>
      <c r="AY37" s="9" t="str">
        <f>IF(B37="", "", 'Ductless Mini Splits'!U14)</f>
        <v/>
      </c>
      <c r="AZ37" s="204" t="str">
        <f>IF(B37="", "", 'Ductless Mini Splits'!V14)</f>
        <v/>
      </c>
      <c r="BC37" s="10" t="str">
        <f>IF(B37="", "", 'Ductless Mini Splits'!T14)</f>
        <v/>
      </c>
      <c r="BM37" s="205"/>
      <c r="BN37" s="205"/>
      <c r="BO37" s="205"/>
      <c r="BP37" s="204" t="str">
        <f>IF(B37="", "", 'Ductless Mini Splits'!$E$23)</f>
        <v/>
      </c>
      <c r="BQ37" s="205" t="str">
        <f>IF(B37="", "",'Ductless Mini Splits'!AL14)</f>
        <v/>
      </c>
      <c r="BR37" s="205" t="str">
        <f>IF(B37="", "", 'Ductless Mini Splits'!AL14)</f>
        <v/>
      </c>
      <c r="BS37" s="205" t="str">
        <f>IF(B37="", "", 'Ductless Mini Splits'!AM14)</f>
        <v/>
      </c>
      <c r="BT37" s="44" t="str">
        <f>IF(B37="", "", 'Ductless Mini Splits'!AN14)</f>
        <v/>
      </c>
      <c r="BU37" s="44" t="str">
        <f>IF(B37="", "", 'Ductless Mini Splits'!AO14)</f>
        <v/>
      </c>
      <c r="BV37" s="10" t="str">
        <f>IF(B37="", "", 'Ductless Mini Splits'!AQ14)</f>
        <v/>
      </c>
    </row>
    <row r="38" spans="1:74">
      <c r="A38" s="9" t="str">
        <f>IF(B38="", "", 37)</f>
        <v/>
      </c>
      <c r="B38" s="42" t="str">
        <f>IF(OR('Ductless Mini Splits'!D15="", 'Ductless Mini Splits'!Q15="", 'Ductless Mini Splits'!AR15="No"), "", 'Ductless Mini Splits'!AS15)</f>
        <v/>
      </c>
      <c r="C38" s="9" t="str">
        <f>IF(B38="", "", 'Project Summary'!$C$7)</f>
        <v/>
      </c>
      <c r="D38" s="9" t="str">
        <f>IF(B38="", "", CONCATENATE('Project Summary'!$C$4, " - ", 'Project Summary'!$C$7))</f>
        <v/>
      </c>
      <c r="E38" s="6" t="str">
        <f t="shared" si="4"/>
        <v/>
      </c>
      <c r="F38" s="9" t="str">
        <f>IF(B38="", "", 'Project Summary'!$C$8)</f>
        <v/>
      </c>
      <c r="G38" s="9" t="str">
        <f>IF(B38="", "",'Ductless Mini Splits'!AU15)</f>
        <v/>
      </c>
      <c r="H38" s="9" t="str">
        <f t="shared" si="5"/>
        <v/>
      </c>
      <c r="I38" s="10" t="str">
        <f>IF(B38="", "", 'Lookup Tables'!$C$2)</f>
        <v/>
      </c>
      <c r="J38" s="9" t="str">
        <f>IF(B38="", "", 'Ductless Mini Splits'!D15)</f>
        <v/>
      </c>
      <c r="K38" s="9" t="str">
        <f>IF(B38="", "", 'Ductless Mini Splits'!M15)</f>
        <v/>
      </c>
      <c r="L38" s="204" t="str">
        <f>IF(B38="", "", 'Ductless Mini Splits'!AT15)</f>
        <v/>
      </c>
      <c r="M38" s="204" t="str">
        <f>IF(B38="", "", 'Ductless Mini Splits'!S15)</f>
        <v/>
      </c>
      <c r="N38" s="9" t="str">
        <f>IF(B38="", "", 'Ductless Mini Splits'!C15)</f>
        <v/>
      </c>
      <c r="O38" s="9" t="str">
        <f>IF(B38="", "", 'Ductless Mini Splits'!E15)</f>
        <v/>
      </c>
      <c r="P38" s="9" t="str">
        <f>IF(B38="", "", 'Ductless Mini Splits'!N15)</f>
        <v/>
      </c>
      <c r="Q38" s="9" t="str">
        <f>IF(B38="", "", 'Ductless Mini Splits'!O15)</f>
        <v/>
      </c>
      <c r="R38" s="9" t="str">
        <f>IF(B38="", "", 'Ductless Mini Splits'!Q15)</f>
        <v/>
      </c>
      <c r="S38" s="9" t="str">
        <f>IF(B38="", "", 'Ductless Mini Splits'!R15)</f>
        <v/>
      </c>
      <c r="T38" s="9" t="str">
        <f>IF(B38="", "", 'Ductless Mini Splits'!K15)</f>
        <v/>
      </c>
      <c r="W38" s="9" t="str">
        <f>IF(OR(B38="", 'Ductless Mini Splits'!I15=""), "", 'Ductless Mini Splits'!I15)</f>
        <v/>
      </c>
      <c r="X38" s="9" t="str">
        <f>IF(OR(B38="", 'Ductless Mini Splits'!J15=""), "", 'Ductless Mini Splits'!J15)</f>
        <v/>
      </c>
      <c r="Z38" s="29" t="str">
        <f>IF(B38="", "", 'Ductless Mini Splits'!W15)</f>
        <v/>
      </c>
      <c r="AC38" s="29" t="str">
        <f>IF(B38="", "", 'Ductless Mini Splits'!$H$25)</f>
        <v/>
      </c>
      <c r="AF38" s="29" t="str">
        <f>IF(B38="", "", 'Ductless Mini Splits'!AF15)</f>
        <v/>
      </c>
      <c r="AI38" s="29" t="str">
        <f>IF(B38="", "", 'Ductless Mini Splits'!W15)</f>
        <v/>
      </c>
      <c r="AL38" s="29" t="str">
        <f>IF(B38="", "", 'Ductless Mini Splits'!$H$25)</f>
        <v/>
      </c>
      <c r="AO38" s="45" t="str">
        <f>IF(B38="", "", 'Ductless Mini Splits'!AF15)</f>
        <v/>
      </c>
      <c r="AS38" s="29" t="str">
        <f>IF(B38="", "", 'Ductless Mini Splits'!X15)</f>
        <v/>
      </c>
      <c r="AW38" s="29" t="str">
        <f>IF(B38="", "", 'Ductless Mini Splits'!AJ15)</f>
        <v/>
      </c>
      <c r="AY38" s="9" t="str">
        <f>IF(B38="", "", 'Ductless Mini Splits'!U15)</f>
        <v/>
      </c>
      <c r="AZ38" s="204" t="str">
        <f>IF(B38="", "", 'Ductless Mini Splits'!V15)</f>
        <v/>
      </c>
      <c r="BC38" s="10" t="str">
        <f>IF(B38="", "", 'Ductless Mini Splits'!T15)</f>
        <v/>
      </c>
      <c r="BM38" s="205"/>
      <c r="BN38" s="205"/>
      <c r="BO38" s="205"/>
      <c r="BP38" s="204" t="str">
        <f>IF(B38="", "", 'Ductless Mini Splits'!$E$23)</f>
        <v/>
      </c>
      <c r="BQ38" s="205" t="str">
        <f>IF(B38="", "",'Ductless Mini Splits'!AL15)</f>
        <v/>
      </c>
      <c r="BR38" s="205" t="str">
        <f>IF(B38="", "", 'Ductless Mini Splits'!AL15)</f>
        <v/>
      </c>
      <c r="BS38" s="205" t="str">
        <f>IF(B38="", "", 'Ductless Mini Splits'!AM15)</f>
        <v/>
      </c>
      <c r="BT38" s="44" t="str">
        <f>IF(B38="", "", 'Ductless Mini Splits'!AN15)</f>
        <v/>
      </c>
      <c r="BU38" s="44" t="str">
        <f>IF(B38="", "", 'Ductless Mini Splits'!AO15)</f>
        <v/>
      </c>
      <c r="BV38" s="10" t="str">
        <f>IF(B38="", "", 'Ductless Mini Splits'!AQ15)</f>
        <v/>
      </c>
    </row>
    <row r="39" spans="1:74">
      <c r="A39" s="9" t="str">
        <f>IF(B39="", "", 38)</f>
        <v/>
      </c>
      <c r="B39" s="42" t="str">
        <f>IF(OR('Ductless Mini Splits'!D16="", 'Ductless Mini Splits'!Q16="", 'Ductless Mini Splits'!AR16="No"), "", 'Ductless Mini Splits'!AS16)</f>
        <v/>
      </c>
      <c r="C39" s="9" t="str">
        <f>IF(B39="", "", 'Project Summary'!$C$7)</f>
        <v/>
      </c>
      <c r="D39" s="9" t="str">
        <f>IF(B39="", "", CONCATENATE('Project Summary'!$C$4, " - ", 'Project Summary'!$C$7))</f>
        <v/>
      </c>
      <c r="E39" s="6" t="str">
        <f t="shared" si="4"/>
        <v/>
      </c>
      <c r="F39" s="9" t="str">
        <f>IF(B39="", "", 'Project Summary'!$C$8)</f>
        <v/>
      </c>
      <c r="G39" s="9" t="str">
        <f>IF(B39="", "",'Ductless Mini Splits'!AU16)</f>
        <v/>
      </c>
      <c r="H39" s="9" t="str">
        <f t="shared" si="5"/>
        <v/>
      </c>
      <c r="I39" s="10" t="str">
        <f>IF(B39="", "", 'Lookup Tables'!$C$2)</f>
        <v/>
      </c>
      <c r="J39" s="9" t="str">
        <f>IF(B39="", "", 'Ductless Mini Splits'!D16)</f>
        <v/>
      </c>
      <c r="K39" s="9" t="str">
        <f>IF(B39="", "", 'Ductless Mini Splits'!M16)</f>
        <v/>
      </c>
      <c r="L39" s="204" t="str">
        <f>IF(B39="", "", 'Ductless Mini Splits'!AT16)</f>
        <v/>
      </c>
      <c r="M39" s="204" t="str">
        <f>IF(B39="", "", 'Ductless Mini Splits'!S16)</f>
        <v/>
      </c>
      <c r="N39" s="9" t="str">
        <f>IF(B39="", "", 'Ductless Mini Splits'!C16)</f>
        <v/>
      </c>
      <c r="O39" s="9" t="str">
        <f>IF(B39="", "", 'Ductless Mini Splits'!E16)</f>
        <v/>
      </c>
      <c r="P39" s="9" t="str">
        <f>IF(B39="", "", 'Ductless Mini Splits'!N16)</f>
        <v/>
      </c>
      <c r="Q39" s="9" t="str">
        <f>IF(B39="", "", 'Ductless Mini Splits'!O16)</f>
        <v/>
      </c>
      <c r="R39" s="9" t="str">
        <f>IF(B39="", "", 'Ductless Mini Splits'!Q16)</f>
        <v/>
      </c>
      <c r="S39" s="9" t="str">
        <f>IF(B39="", "", 'Ductless Mini Splits'!R16)</f>
        <v/>
      </c>
      <c r="T39" s="9" t="str">
        <f>IF(B39="", "", 'Ductless Mini Splits'!K16)</f>
        <v/>
      </c>
      <c r="W39" s="9" t="str">
        <f>IF(OR(B39="", 'Ductless Mini Splits'!I16=""), "", 'Ductless Mini Splits'!I16)</f>
        <v/>
      </c>
      <c r="X39" s="9" t="str">
        <f>IF(OR(B39="", 'Ductless Mini Splits'!J16=""), "", 'Ductless Mini Splits'!J16)</f>
        <v/>
      </c>
      <c r="Z39" s="29" t="str">
        <f>IF(B39="", "", 'Ductless Mini Splits'!W16)</f>
        <v/>
      </c>
      <c r="AC39" s="29" t="str">
        <f>IF(B39="", "", 'Ductless Mini Splits'!$H$25)</f>
        <v/>
      </c>
      <c r="AF39" s="29" t="str">
        <f>IF(B39="", "", 'Ductless Mini Splits'!AF16)</f>
        <v/>
      </c>
      <c r="AI39" s="29" t="str">
        <f>IF(B39="", "", 'Ductless Mini Splits'!W16)</f>
        <v/>
      </c>
      <c r="AL39" s="29" t="str">
        <f>IF(B39="", "", 'Ductless Mini Splits'!$H$25)</f>
        <v/>
      </c>
      <c r="AO39" s="45" t="str">
        <f>IF(B39="", "", 'Ductless Mini Splits'!AF16)</f>
        <v/>
      </c>
      <c r="AS39" s="29" t="str">
        <f>IF(B39="", "", 'Ductless Mini Splits'!X16)</f>
        <v/>
      </c>
      <c r="AW39" s="29" t="str">
        <f>IF(B39="", "", 'Ductless Mini Splits'!AJ16)</f>
        <v/>
      </c>
      <c r="AY39" s="9" t="str">
        <f>IF(B39="", "", 'Ductless Mini Splits'!U16)</f>
        <v/>
      </c>
      <c r="AZ39" s="204" t="str">
        <f>IF(B39="", "", 'Ductless Mini Splits'!V16)</f>
        <v/>
      </c>
      <c r="BC39" s="10" t="str">
        <f>IF(B39="", "", 'Ductless Mini Splits'!T16)</f>
        <v/>
      </c>
      <c r="BM39" s="205"/>
      <c r="BN39" s="205"/>
      <c r="BO39" s="205"/>
      <c r="BP39" s="204" t="str">
        <f>IF(B39="", "", 'Ductless Mini Splits'!$E$23)</f>
        <v/>
      </c>
      <c r="BQ39" s="205" t="str">
        <f>IF(B39="", "",'Ductless Mini Splits'!AL16)</f>
        <v/>
      </c>
      <c r="BR39" s="205" t="str">
        <f>IF(B39="", "", 'Ductless Mini Splits'!AL16)</f>
        <v/>
      </c>
      <c r="BS39" s="205" t="str">
        <f>IF(B39="", "", 'Ductless Mini Splits'!AM16)</f>
        <v/>
      </c>
      <c r="BT39" s="44" t="str">
        <f>IF(B39="", "", 'Ductless Mini Splits'!AN16)</f>
        <v/>
      </c>
      <c r="BU39" s="44" t="str">
        <f>IF(B39="", "", 'Ductless Mini Splits'!AO16)</f>
        <v/>
      </c>
      <c r="BV39" s="10" t="str">
        <f>IF(B39="", "", 'Ductless Mini Splits'!AQ16)</f>
        <v/>
      </c>
    </row>
    <row r="40" spans="1:74">
      <c r="A40" s="9" t="str">
        <f>IF(B40="", "", 39)</f>
        <v/>
      </c>
      <c r="B40" s="42" t="str">
        <f>IF(OR('Ductless Mini Splits'!D17="", 'Ductless Mini Splits'!Q17="", 'Ductless Mini Splits'!AR17="No"), "", 'Ductless Mini Splits'!AS17)</f>
        <v/>
      </c>
      <c r="C40" s="9" t="str">
        <f>IF(B40="", "", 'Project Summary'!$C$7)</f>
        <v/>
      </c>
      <c r="D40" s="9" t="str">
        <f>IF(B40="", "", CONCATENATE('Project Summary'!$C$4, " - ", 'Project Summary'!$C$7))</f>
        <v/>
      </c>
      <c r="E40" s="6" t="str">
        <f t="shared" si="4"/>
        <v/>
      </c>
      <c r="F40" s="9" t="str">
        <f>IF(B40="", "", 'Project Summary'!$C$8)</f>
        <v/>
      </c>
      <c r="G40" s="9" t="str">
        <f>IF(B40="", "",'Ductless Mini Splits'!AU17)</f>
        <v/>
      </c>
      <c r="H40" s="9" t="str">
        <f t="shared" si="5"/>
        <v/>
      </c>
      <c r="I40" s="10" t="str">
        <f>IF(B40="", "", 'Lookup Tables'!$C$2)</f>
        <v/>
      </c>
      <c r="J40" s="9" t="str">
        <f>IF(B40="", "", 'Ductless Mini Splits'!D17)</f>
        <v/>
      </c>
      <c r="K40" s="9" t="str">
        <f>IF(B40="", "", 'Ductless Mini Splits'!M17)</f>
        <v/>
      </c>
      <c r="L40" s="204" t="str">
        <f>IF(B40="", "", 'Ductless Mini Splits'!AT17)</f>
        <v/>
      </c>
      <c r="M40" s="204" t="str">
        <f>IF(B40="", "", 'Ductless Mini Splits'!S17)</f>
        <v/>
      </c>
      <c r="N40" s="9" t="str">
        <f>IF(B40="", "", 'Ductless Mini Splits'!C17)</f>
        <v/>
      </c>
      <c r="O40" s="9" t="str">
        <f>IF(B40="", "", 'Ductless Mini Splits'!E17)</f>
        <v/>
      </c>
      <c r="P40" s="9" t="str">
        <f>IF(B40="", "", 'Ductless Mini Splits'!N17)</f>
        <v/>
      </c>
      <c r="Q40" s="9" t="str">
        <f>IF(B40="", "", 'Ductless Mini Splits'!O17)</f>
        <v/>
      </c>
      <c r="R40" s="9" t="str">
        <f>IF(B40="", "", 'Ductless Mini Splits'!Q17)</f>
        <v/>
      </c>
      <c r="S40" s="9" t="str">
        <f>IF(B40="", "", 'Ductless Mini Splits'!R17)</f>
        <v/>
      </c>
      <c r="T40" s="9" t="str">
        <f>IF(B40="", "", 'Ductless Mini Splits'!K17)</f>
        <v/>
      </c>
      <c r="W40" s="9" t="str">
        <f>IF(OR(B40="", 'Ductless Mini Splits'!I17=""), "", 'Ductless Mini Splits'!I17)</f>
        <v/>
      </c>
      <c r="X40" s="9" t="str">
        <f>IF(OR(B40="", 'Ductless Mini Splits'!J17=""), "", 'Ductless Mini Splits'!J17)</f>
        <v/>
      </c>
      <c r="Z40" s="29" t="str">
        <f>IF(B40="", "", 'Ductless Mini Splits'!W17)</f>
        <v/>
      </c>
      <c r="AC40" s="29" t="str">
        <f>IF(B40="", "", 'Ductless Mini Splits'!$H$25)</f>
        <v/>
      </c>
      <c r="AF40" s="29" t="str">
        <f>IF(B40="", "", 'Ductless Mini Splits'!AF17)</f>
        <v/>
      </c>
      <c r="AI40" s="29" t="str">
        <f>IF(B40="", "", 'Ductless Mini Splits'!W17)</f>
        <v/>
      </c>
      <c r="AL40" s="29" t="str">
        <f>IF(B40="", "", 'Ductless Mini Splits'!$H$25)</f>
        <v/>
      </c>
      <c r="AO40" s="45" t="str">
        <f>IF(B40="", "", 'Ductless Mini Splits'!AF17)</f>
        <v/>
      </c>
      <c r="AS40" s="29" t="str">
        <f>IF(B40="", "", 'Ductless Mini Splits'!X17)</f>
        <v/>
      </c>
      <c r="AW40" s="29" t="str">
        <f>IF(B40="", "", 'Ductless Mini Splits'!AJ17)</f>
        <v/>
      </c>
      <c r="AY40" s="9" t="str">
        <f>IF(B40="", "", 'Ductless Mini Splits'!U17)</f>
        <v/>
      </c>
      <c r="AZ40" s="204" t="str">
        <f>IF(B40="", "", 'Ductless Mini Splits'!V17)</f>
        <v/>
      </c>
      <c r="BC40" s="10" t="str">
        <f>IF(B40="", "", 'Ductless Mini Splits'!T17)</f>
        <v/>
      </c>
      <c r="BM40" s="205"/>
      <c r="BN40" s="205"/>
      <c r="BO40" s="205"/>
      <c r="BP40" s="204" t="str">
        <f>IF(B40="", "", 'Ductless Mini Splits'!$E$23)</f>
        <v/>
      </c>
      <c r="BQ40" s="205" t="str">
        <f>IF(B40="", "",'Ductless Mini Splits'!AL17)</f>
        <v/>
      </c>
      <c r="BR40" s="205" t="str">
        <f>IF(B40="", "", 'Ductless Mini Splits'!AL17)</f>
        <v/>
      </c>
      <c r="BS40" s="205" t="str">
        <f>IF(B40="", "", 'Ductless Mini Splits'!AM17)</f>
        <v/>
      </c>
      <c r="BT40" s="44" t="str">
        <f>IF(B40="", "", 'Ductless Mini Splits'!AN17)</f>
        <v/>
      </c>
      <c r="BU40" s="44" t="str">
        <f>IF(B40="", "", 'Ductless Mini Splits'!AO17)</f>
        <v/>
      </c>
      <c r="BV40" s="10" t="str">
        <f>IF(B40="", "", 'Ductless Mini Splits'!AQ17)</f>
        <v/>
      </c>
    </row>
    <row r="41" spans="1:74">
      <c r="A41" s="9" t="str">
        <f>IF(B41="", "", 40)</f>
        <v/>
      </c>
      <c r="B41" s="42" t="str">
        <f>IF(OR('Ductless Mini Splits'!D18="", 'Ductless Mini Splits'!Q18="", 'Ductless Mini Splits'!AR18="No"), "", 'Ductless Mini Splits'!AS18)</f>
        <v/>
      </c>
      <c r="C41" s="9" t="str">
        <f>IF(B41="", "", 'Project Summary'!$C$7)</f>
        <v/>
      </c>
      <c r="D41" s="9" t="str">
        <f>IF(B41="", "", CONCATENATE('Project Summary'!$C$4, " - ", 'Project Summary'!$C$7))</f>
        <v/>
      </c>
      <c r="E41" s="6" t="str">
        <f t="shared" si="4"/>
        <v/>
      </c>
      <c r="F41" s="9" t="str">
        <f>IF(B41="", "", 'Project Summary'!$C$8)</f>
        <v/>
      </c>
      <c r="G41" s="9" t="str">
        <f>IF(B41="", "",'Ductless Mini Splits'!AU18)</f>
        <v/>
      </c>
      <c r="H41" s="9" t="str">
        <f t="shared" si="5"/>
        <v/>
      </c>
      <c r="I41" s="10" t="str">
        <f>IF(B41="", "", 'Lookup Tables'!$C$2)</f>
        <v/>
      </c>
      <c r="J41" s="9" t="str">
        <f>IF(B41="", "", 'Ductless Mini Splits'!D18)</f>
        <v/>
      </c>
      <c r="K41" s="9" t="str">
        <f>IF(B41="", "", 'Ductless Mini Splits'!M18)</f>
        <v/>
      </c>
      <c r="L41" s="204" t="str">
        <f>IF(B41="", "", 'Ductless Mini Splits'!AT18)</f>
        <v/>
      </c>
      <c r="M41" s="204" t="str">
        <f>IF(B41="", "", 'Ductless Mini Splits'!S18)</f>
        <v/>
      </c>
      <c r="N41" s="9" t="str">
        <f>IF(B41="", "", 'Ductless Mini Splits'!C18)</f>
        <v/>
      </c>
      <c r="O41" s="9" t="str">
        <f>IF(B41="", "", 'Ductless Mini Splits'!E18)</f>
        <v/>
      </c>
      <c r="P41" s="9" t="str">
        <f>IF(B41="", "", 'Ductless Mini Splits'!N18)</f>
        <v/>
      </c>
      <c r="Q41" s="9" t="str">
        <f>IF(B41="", "", 'Ductless Mini Splits'!O18)</f>
        <v/>
      </c>
      <c r="R41" s="9" t="str">
        <f>IF(B41="", "", 'Ductless Mini Splits'!Q18)</f>
        <v/>
      </c>
      <c r="S41" s="9" t="str">
        <f>IF(B41="", "", 'Ductless Mini Splits'!R18)</f>
        <v/>
      </c>
      <c r="T41" s="9" t="str">
        <f>IF(B41="", "", 'Ductless Mini Splits'!K18)</f>
        <v/>
      </c>
      <c r="W41" s="9" t="str">
        <f>IF(OR(B41="", 'Ductless Mini Splits'!I18=""), "", 'Ductless Mini Splits'!I18)</f>
        <v/>
      </c>
      <c r="X41" s="9" t="str">
        <f>IF(OR(B41="", 'Ductless Mini Splits'!J18=""), "", 'Ductless Mini Splits'!J18)</f>
        <v/>
      </c>
      <c r="Z41" s="29" t="str">
        <f>IF(B41="", "", 'Ductless Mini Splits'!W18)</f>
        <v/>
      </c>
      <c r="AC41" s="29" t="str">
        <f>IF(B41="", "", 'Ductless Mini Splits'!$H$25)</f>
        <v/>
      </c>
      <c r="AF41" s="29" t="str">
        <f>IF(B41="", "", 'Ductless Mini Splits'!AF18)</f>
        <v/>
      </c>
      <c r="AI41" s="29" t="str">
        <f>IF(B41="", "", 'Ductless Mini Splits'!W18)</f>
        <v/>
      </c>
      <c r="AL41" s="29" t="str">
        <f>IF(B41="", "", 'Ductless Mini Splits'!$H$25)</f>
        <v/>
      </c>
      <c r="AO41" s="45" t="str">
        <f>IF(B41="", "", 'Ductless Mini Splits'!AF18)</f>
        <v/>
      </c>
      <c r="AS41" s="29" t="str">
        <f>IF(B41="", "", 'Ductless Mini Splits'!X18)</f>
        <v/>
      </c>
      <c r="AW41" s="29" t="str">
        <f>IF(B41="", "", 'Ductless Mini Splits'!AJ18)</f>
        <v/>
      </c>
      <c r="AY41" s="9" t="str">
        <f>IF(B41="", "", 'Ductless Mini Splits'!U18)</f>
        <v/>
      </c>
      <c r="AZ41" s="204" t="str">
        <f>IF(B41="", "", 'Ductless Mini Splits'!V18)</f>
        <v/>
      </c>
      <c r="BC41" s="10" t="str">
        <f>IF(B41="", "", 'Ductless Mini Splits'!T18)</f>
        <v/>
      </c>
      <c r="BM41" s="205"/>
      <c r="BN41" s="205"/>
      <c r="BO41" s="205"/>
      <c r="BP41" s="204" t="str">
        <f>IF(B41="", "", 'Ductless Mini Splits'!$E$23)</f>
        <v/>
      </c>
      <c r="BQ41" s="205" t="str">
        <f>IF(B41="", "",'Ductless Mini Splits'!AL18)</f>
        <v/>
      </c>
      <c r="BR41" s="205" t="str">
        <f>IF(B41="", "", 'Ductless Mini Splits'!AL18)</f>
        <v/>
      </c>
      <c r="BS41" s="205" t="str">
        <f>IF(B41="", "", 'Ductless Mini Splits'!AM18)</f>
        <v/>
      </c>
      <c r="BT41" s="44" t="str">
        <f>IF(B41="", "", 'Ductless Mini Splits'!AN18)</f>
        <v/>
      </c>
      <c r="BU41" s="44" t="str">
        <f>IF(B41="", "", 'Ductless Mini Splits'!AO18)</f>
        <v/>
      </c>
      <c r="BV41" s="10" t="str">
        <f>IF(B41="", "", 'Ductless Mini Splits'!AQ18)</f>
        <v/>
      </c>
    </row>
    <row r="42" spans="1:74">
      <c r="A42" s="9" t="str">
        <f>IF(B42="", "", 41)</f>
        <v/>
      </c>
      <c r="B42" s="42" t="str">
        <f>IF(OR(PTACs!D11="", PTACs!N11="", PTACs!AG11="No"), "", PTACs!AH11)</f>
        <v/>
      </c>
      <c r="C42" s="9" t="str">
        <f>IF(B42="", "", 'Project Summary'!$C$7)</f>
        <v/>
      </c>
      <c r="D42" s="9" t="str">
        <f>IF(B42="", "", CONCATENATE('Project Summary'!$C$4, " - ", 'Project Summary'!$C$7))</f>
        <v/>
      </c>
      <c r="E42" s="6" t="str">
        <f t="shared" ref="E42:E49" si="6">IF(B42="", "", "FPHVPR")</f>
        <v/>
      </c>
      <c r="F42" s="9" t="str">
        <f>IF(B42="", "", 'Project Summary'!$C$8)</f>
        <v/>
      </c>
      <c r="G42" s="9" t="str">
        <f>IF(B42="", "",PTACs!AJ11)</f>
        <v/>
      </c>
      <c r="H42" s="9" t="str">
        <f t="shared" ref="H42:H49" si="7">IF(B42="", "", CONCATENATE(C42, A42))</f>
        <v/>
      </c>
      <c r="I42" s="10" t="str">
        <f>IF(B42="", "", 'Lookup Tables'!$C$2)</f>
        <v/>
      </c>
      <c r="J42" s="9" t="str">
        <f>IF(B42="", "",PTACs!D11)</f>
        <v/>
      </c>
      <c r="L42" s="204" t="str">
        <f>IF(B42="", "",PTACs!AI11)</f>
        <v/>
      </c>
      <c r="M42" s="204" t="str">
        <f>IF(B42="", "",PTACs!C11)</f>
        <v/>
      </c>
      <c r="N42" s="9" t="str">
        <f>IF(B42="", "",PTACs!C11)</f>
        <v/>
      </c>
      <c r="O42" s="9" t="str">
        <f>IF(B42="", "",PTACs!E11)</f>
        <v/>
      </c>
      <c r="P42" s="9" t="str">
        <f>IF(B42="", "",PTACs!J11)</f>
        <v/>
      </c>
      <c r="Q42" s="9" t="str">
        <f>IF(B42="", "",PTACs!K11)</f>
        <v/>
      </c>
      <c r="R42" s="9" t="str">
        <f>IF(B42="", "",PTACs!N11)</f>
        <v/>
      </c>
      <c r="T42" s="9" t="str">
        <f>IF(B42="", "",PTACs!Q11)</f>
        <v/>
      </c>
      <c r="Y42" s="202" t="str">
        <f>IF(B42="", "",PTACs!H11)</f>
        <v/>
      </c>
      <c r="AA42" s="29" t="str">
        <f>IF(B42="", "",PTACs!V11)</f>
        <v/>
      </c>
      <c r="AD42" s="29" t="str">
        <f>IF(B42="", "",PTACs!Y11)</f>
        <v/>
      </c>
      <c r="AG42" s="29" t="str">
        <f>IF(B42="", "",PTACs!AA11)</f>
        <v/>
      </c>
      <c r="AP42" s="45" t="str">
        <f>IF(B42="", "",PTACs!AA11)</f>
        <v/>
      </c>
      <c r="AY42" s="9" t="str">
        <f>IF(B42="", "",PTACs!P11)</f>
        <v/>
      </c>
      <c r="BC42" s="10" t="str">
        <f>IF(B42="", "",PTACs!O11)</f>
        <v/>
      </c>
      <c r="BM42" s="205"/>
      <c r="BN42" s="205"/>
      <c r="BO42" s="205"/>
      <c r="BP42" s="204" t="str">
        <f>IF(B42="", "",PTACs!$C$22)</f>
        <v/>
      </c>
      <c r="BQ42" s="205" t="str">
        <f>IF(B42="", "",PTACs!AC11)</f>
        <v/>
      </c>
      <c r="BR42" s="205" t="str">
        <f>IF(B42="", "",PTACs!AC11)</f>
        <v/>
      </c>
      <c r="BS42" s="205" t="str">
        <f>IF(B42="", "",PTACs!AD11)</f>
        <v/>
      </c>
      <c r="BU42" s="44" t="str">
        <f>IF(B42="", "",PTACs!AD11)</f>
        <v/>
      </c>
      <c r="BV42" s="10" t="str">
        <f>IF(B42="", "",PTACs!AF11)</f>
        <v/>
      </c>
    </row>
    <row r="43" spans="1:74">
      <c r="A43" s="9" t="str">
        <f>IF(B43="", "", 42)</f>
        <v/>
      </c>
      <c r="B43" s="42" t="str">
        <f>IF(OR(PTACs!D12="", PTACs!N12="", PTACs!AG12="No"), "", PTACs!AH12)</f>
        <v/>
      </c>
      <c r="C43" s="9" t="str">
        <f>IF(B43="", "", 'Project Summary'!$C$7)</f>
        <v/>
      </c>
      <c r="D43" s="9" t="str">
        <f>IF(B43="", "", CONCATENATE('Project Summary'!$C$4, " - ", 'Project Summary'!$C$7))</f>
        <v/>
      </c>
      <c r="E43" s="6" t="str">
        <f t="shared" si="6"/>
        <v/>
      </c>
      <c r="F43" s="9" t="str">
        <f>IF(B43="", "", 'Project Summary'!$C$8)</f>
        <v/>
      </c>
      <c r="G43" s="9" t="str">
        <f>IF(B43="", "",PTACs!AJ12)</f>
        <v/>
      </c>
      <c r="H43" s="9" t="str">
        <f t="shared" si="7"/>
        <v/>
      </c>
      <c r="I43" s="10" t="str">
        <f>IF(B43="", "", 'Lookup Tables'!$C$2)</f>
        <v/>
      </c>
      <c r="J43" s="9" t="str">
        <f>IF(B43="", "",PTACs!D12)</f>
        <v/>
      </c>
      <c r="L43" s="204" t="str">
        <f>IF(B43="", "",PTACs!AI12)</f>
        <v/>
      </c>
      <c r="M43" s="204" t="str">
        <f>IF(B43="", "",PTACs!C12)</f>
        <v/>
      </c>
      <c r="N43" s="9" t="str">
        <f>IF(B43="", "",PTACs!C12)</f>
        <v/>
      </c>
      <c r="O43" s="9" t="str">
        <f>IF(B43="", "",PTACs!E12)</f>
        <v/>
      </c>
      <c r="P43" s="9" t="str">
        <f>IF(B43="", "",PTACs!J12)</f>
        <v/>
      </c>
      <c r="Q43" s="9" t="str">
        <f>IF(B43="", "",PTACs!K12)</f>
        <v/>
      </c>
      <c r="R43" s="9" t="str">
        <f>IF(B43="", "",PTACs!N12)</f>
        <v/>
      </c>
      <c r="T43" s="9" t="str">
        <f>IF(B43="", "",PTACs!Q12)</f>
        <v/>
      </c>
      <c r="Y43" s="202" t="str">
        <f>IF(B43="", "",PTACs!H12)</f>
        <v/>
      </c>
      <c r="AA43" s="29" t="str">
        <f>IF(B43="", "",PTACs!V12)</f>
        <v/>
      </c>
      <c r="AD43" s="29" t="str">
        <f>IF(B43="", "",PTACs!Y12)</f>
        <v/>
      </c>
      <c r="AG43" s="29" t="str">
        <f>IF(B43="", "",PTACs!AA12)</f>
        <v/>
      </c>
      <c r="AP43" s="45" t="str">
        <f>IF(B43="", "",PTACs!AA12)</f>
        <v/>
      </c>
      <c r="AY43" s="9" t="str">
        <f>IF(B43="", "",PTACs!P12)</f>
        <v/>
      </c>
      <c r="BC43" s="10" t="str">
        <f>IF(B43="", "",PTACs!O12)</f>
        <v/>
      </c>
      <c r="BM43" s="205"/>
      <c r="BN43" s="205"/>
      <c r="BO43" s="205"/>
      <c r="BP43" s="204" t="str">
        <f>IF(B43="", "",PTACs!$C$22)</f>
        <v/>
      </c>
      <c r="BQ43" s="205" t="str">
        <f>IF(B43="", "",PTACs!AC12)</f>
        <v/>
      </c>
      <c r="BR43" s="205" t="str">
        <f>IF(B43="", "",PTACs!AC12)</f>
        <v/>
      </c>
      <c r="BS43" s="205" t="str">
        <f>IF(B43="", "",PTACs!AD12)</f>
        <v/>
      </c>
      <c r="BU43" s="44" t="str">
        <f>IF(B43="", "",PTACs!AD12)</f>
        <v/>
      </c>
      <c r="BV43" s="10" t="str">
        <f>IF(B43="", "",PTACs!AF12)</f>
        <v/>
      </c>
    </row>
    <row r="44" spans="1:74">
      <c r="A44" s="9" t="str">
        <f>IF(B44="", "", 43)</f>
        <v/>
      </c>
      <c r="B44" s="42" t="str">
        <f>IF(OR(PTACs!D13="", PTACs!N13="", PTACs!AG13="No"), "", PTACs!AH13)</f>
        <v/>
      </c>
      <c r="C44" s="9" t="str">
        <f>IF(B44="", "", 'Project Summary'!$C$7)</f>
        <v/>
      </c>
      <c r="D44" s="9" t="str">
        <f>IF(B44="", "", CONCATENATE('Project Summary'!$C$4, " - ", 'Project Summary'!$C$7))</f>
        <v/>
      </c>
      <c r="E44" s="6" t="str">
        <f t="shared" si="6"/>
        <v/>
      </c>
      <c r="F44" s="9" t="str">
        <f>IF(B44="", "", 'Project Summary'!$C$8)</f>
        <v/>
      </c>
      <c r="G44" s="9" t="str">
        <f>IF(B44="", "",PTACs!AJ13)</f>
        <v/>
      </c>
      <c r="H44" s="9" t="str">
        <f t="shared" si="7"/>
        <v/>
      </c>
      <c r="I44" s="10" t="str">
        <f>IF(B44="", "", 'Lookup Tables'!$C$2)</f>
        <v/>
      </c>
      <c r="J44" s="9" t="str">
        <f>IF(B44="", "",PTACs!D13)</f>
        <v/>
      </c>
      <c r="L44" s="204" t="str">
        <f>IF(B44="", "",PTACs!AI13)</f>
        <v/>
      </c>
      <c r="M44" s="204" t="str">
        <f>IF(B44="", "",PTACs!C13)</f>
        <v/>
      </c>
      <c r="N44" s="9" t="str">
        <f>IF(B44="", "",PTACs!C13)</f>
        <v/>
      </c>
      <c r="O44" s="9" t="str">
        <f>IF(B44="", "",PTACs!E13)</f>
        <v/>
      </c>
      <c r="P44" s="9" t="str">
        <f>IF(B44="", "",PTACs!J13)</f>
        <v/>
      </c>
      <c r="Q44" s="9" t="str">
        <f>IF(B44="", "",PTACs!K13)</f>
        <v/>
      </c>
      <c r="R44" s="9" t="str">
        <f>IF(B44="", "",PTACs!N13)</f>
        <v/>
      </c>
      <c r="T44" s="9" t="str">
        <f>IF(B44="", "",PTACs!Q13)</f>
        <v/>
      </c>
      <c r="Y44" s="202" t="str">
        <f>IF(B44="", "",PTACs!H13)</f>
        <v/>
      </c>
      <c r="AA44" s="29" t="str">
        <f>IF(B44="", "",PTACs!V13)</f>
        <v/>
      </c>
      <c r="AD44" s="29" t="str">
        <f>IF(B44="", "",PTACs!Y13)</f>
        <v/>
      </c>
      <c r="AG44" s="29" t="str">
        <f>IF(B44="", "",PTACs!AA13)</f>
        <v/>
      </c>
      <c r="AP44" s="45" t="str">
        <f>IF(B44="", "",PTACs!AA13)</f>
        <v/>
      </c>
      <c r="AY44" s="9" t="str">
        <f>IF(B44="", "",PTACs!P13)</f>
        <v/>
      </c>
      <c r="BC44" s="10" t="str">
        <f>IF(B44="", "",PTACs!O13)</f>
        <v/>
      </c>
      <c r="BM44" s="205"/>
      <c r="BN44" s="205"/>
      <c r="BO44" s="205"/>
      <c r="BP44" s="204" t="str">
        <f>IF(B44="", "",PTACs!$C$22)</f>
        <v/>
      </c>
      <c r="BQ44" s="205" t="str">
        <f>IF(B44="", "",PTACs!AC13)</f>
        <v/>
      </c>
      <c r="BR44" s="205" t="str">
        <f>IF(B44="", "",PTACs!AC13)</f>
        <v/>
      </c>
      <c r="BS44" s="205" t="str">
        <f>IF(B44="", "",PTACs!AD13)</f>
        <v/>
      </c>
      <c r="BU44" s="44" t="str">
        <f>IF(B44="", "",PTACs!AD13)</f>
        <v/>
      </c>
      <c r="BV44" s="10" t="str">
        <f>IF(B44="", "",PTACs!AF13)</f>
        <v/>
      </c>
    </row>
    <row r="45" spans="1:74">
      <c r="A45" s="9" t="str">
        <f>IF(B45="", "", 44)</f>
        <v/>
      </c>
      <c r="B45" s="42" t="str">
        <f>IF(OR(PTACs!D14="", PTACs!N14="", PTACs!AG14="No"), "", PTACs!AH14)</f>
        <v/>
      </c>
      <c r="C45" s="9" t="str">
        <f>IF(B45="", "", 'Project Summary'!$C$7)</f>
        <v/>
      </c>
      <c r="D45" s="9" t="str">
        <f>IF(B45="", "", CONCATENATE('Project Summary'!$C$4, " - ", 'Project Summary'!$C$7))</f>
        <v/>
      </c>
      <c r="E45" s="6" t="str">
        <f t="shared" si="6"/>
        <v/>
      </c>
      <c r="F45" s="9" t="str">
        <f>IF(B45="", "", 'Project Summary'!$C$8)</f>
        <v/>
      </c>
      <c r="G45" s="9" t="str">
        <f>IF(B45="", "",PTACs!AJ14)</f>
        <v/>
      </c>
      <c r="H45" s="9" t="str">
        <f t="shared" si="7"/>
        <v/>
      </c>
      <c r="I45" s="10" t="str">
        <f>IF(B45="", "", 'Lookup Tables'!$C$2)</f>
        <v/>
      </c>
      <c r="J45" s="9" t="str">
        <f>IF(B45="", "",PTACs!D14)</f>
        <v/>
      </c>
      <c r="L45" s="204" t="str">
        <f>IF(B45="", "",PTACs!AI14)</f>
        <v/>
      </c>
      <c r="M45" s="204" t="str">
        <f>IF(B45="", "",PTACs!C14)</f>
        <v/>
      </c>
      <c r="N45" s="9" t="str">
        <f>IF(B45="", "",PTACs!C14)</f>
        <v/>
      </c>
      <c r="O45" s="9" t="str">
        <f>IF(B45="", "",PTACs!E14)</f>
        <v/>
      </c>
      <c r="P45" s="9" t="str">
        <f>IF(B45="", "",PTACs!J14)</f>
        <v/>
      </c>
      <c r="Q45" s="9" t="str">
        <f>IF(B45="", "",PTACs!K14)</f>
        <v/>
      </c>
      <c r="R45" s="9" t="str">
        <f>IF(B45="", "",PTACs!N14)</f>
        <v/>
      </c>
      <c r="T45" s="9" t="str">
        <f>IF(B45="", "",PTACs!Q14)</f>
        <v/>
      </c>
      <c r="Y45" s="202" t="str">
        <f>IF(B45="", "",PTACs!H14)</f>
        <v/>
      </c>
      <c r="AA45" s="29" t="str">
        <f>IF(B45="", "",PTACs!V14)</f>
        <v/>
      </c>
      <c r="AD45" s="29" t="str">
        <f>IF(B45="", "",PTACs!Y14)</f>
        <v/>
      </c>
      <c r="AG45" s="29" t="str">
        <f>IF(B45="", "",PTACs!AA14)</f>
        <v/>
      </c>
      <c r="AP45" s="45" t="str">
        <f>IF(B45="", "",PTACs!AA14)</f>
        <v/>
      </c>
      <c r="AY45" s="9" t="str">
        <f>IF(B45="", "",PTACs!P14)</f>
        <v/>
      </c>
      <c r="BC45" s="10" t="str">
        <f>IF(B45="", "",PTACs!O14)</f>
        <v/>
      </c>
      <c r="BM45" s="205"/>
      <c r="BN45" s="205"/>
      <c r="BO45" s="205"/>
      <c r="BP45" s="204" t="str">
        <f>IF(B45="", "",PTACs!$C$22)</f>
        <v/>
      </c>
      <c r="BQ45" s="205" t="str">
        <f>IF(B45="", "",PTACs!AC14)</f>
        <v/>
      </c>
      <c r="BR45" s="205" t="str">
        <f>IF(B45="", "",PTACs!AC14)</f>
        <v/>
      </c>
      <c r="BS45" s="205" t="str">
        <f>IF(B45="", "",PTACs!AD14)</f>
        <v/>
      </c>
      <c r="BU45" s="44" t="str">
        <f>IF(B45="", "",PTACs!AD14)</f>
        <v/>
      </c>
      <c r="BV45" s="10" t="str">
        <f>IF(B45="", "",PTACs!AF14)</f>
        <v/>
      </c>
    </row>
    <row r="46" spans="1:74">
      <c r="A46" s="9" t="str">
        <f>IF(B46="", "", 45)</f>
        <v/>
      </c>
      <c r="B46" s="42" t="str">
        <f>IF(OR(PTACs!D15="", PTACs!N15="", PTACs!AG15="No"), "", PTACs!AH15)</f>
        <v/>
      </c>
      <c r="C46" s="9" t="str">
        <f>IF(B46="", "", 'Project Summary'!$C$7)</f>
        <v/>
      </c>
      <c r="D46" s="9" t="str">
        <f>IF(B46="", "", CONCATENATE('Project Summary'!$C$4, " - ", 'Project Summary'!$C$7))</f>
        <v/>
      </c>
      <c r="E46" s="6" t="str">
        <f t="shared" si="6"/>
        <v/>
      </c>
      <c r="F46" s="9" t="str">
        <f>IF(B46="", "", 'Project Summary'!$C$8)</f>
        <v/>
      </c>
      <c r="G46" s="9" t="str">
        <f>IF(B46="", "",PTACs!AJ15)</f>
        <v/>
      </c>
      <c r="H46" s="9" t="str">
        <f t="shared" si="7"/>
        <v/>
      </c>
      <c r="I46" s="10" t="str">
        <f>IF(B46="", "", 'Lookup Tables'!$C$2)</f>
        <v/>
      </c>
      <c r="J46" s="9" t="str">
        <f>IF(B46="", "",PTACs!D15)</f>
        <v/>
      </c>
      <c r="L46" s="204" t="str">
        <f>IF(B46="", "",PTACs!AI15)</f>
        <v/>
      </c>
      <c r="M46" s="204" t="str">
        <f>IF(B46="", "",PTACs!C15)</f>
        <v/>
      </c>
      <c r="N46" s="9" t="str">
        <f>IF(B46="", "",PTACs!C15)</f>
        <v/>
      </c>
      <c r="O46" s="9" t="str">
        <f>IF(B46="", "",PTACs!E15)</f>
        <v/>
      </c>
      <c r="P46" s="9" t="str">
        <f>IF(B46="", "",PTACs!J15)</f>
        <v/>
      </c>
      <c r="Q46" s="9" t="str">
        <f>IF(B46="", "",PTACs!K15)</f>
        <v/>
      </c>
      <c r="R46" s="9" t="str">
        <f>IF(B46="", "",PTACs!N15)</f>
        <v/>
      </c>
      <c r="T46" s="9" t="str">
        <f>IF(B46="", "",PTACs!Q15)</f>
        <v/>
      </c>
      <c r="Y46" s="202" t="str">
        <f>IF(B46="", "",PTACs!H15)</f>
        <v/>
      </c>
      <c r="AA46" s="29" t="str">
        <f>IF(B46="", "",PTACs!V15)</f>
        <v/>
      </c>
      <c r="AD46" s="29" t="str">
        <f>IF(B46="", "",PTACs!Y15)</f>
        <v/>
      </c>
      <c r="AG46" s="29" t="str">
        <f>IF(B46="", "",PTACs!AA15)</f>
        <v/>
      </c>
      <c r="AP46" s="45" t="str">
        <f>IF(B46="", "",PTACs!AA15)</f>
        <v/>
      </c>
      <c r="AY46" s="9" t="str">
        <f>IF(B46="", "",PTACs!P15)</f>
        <v/>
      </c>
      <c r="BC46" s="10" t="str">
        <f>IF(B46="", "",PTACs!O15)</f>
        <v/>
      </c>
      <c r="BM46" s="205"/>
      <c r="BN46" s="205"/>
      <c r="BO46" s="205"/>
      <c r="BP46" s="204" t="str">
        <f>IF(B46="", "",PTACs!$C$22)</f>
        <v/>
      </c>
      <c r="BQ46" s="205" t="str">
        <f>IF(B46="", "",PTACs!AC15)</f>
        <v/>
      </c>
      <c r="BR46" s="205" t="str">
        <f>IF(B46="", "",PTACs!AC15)</f>
        <v/>
      </c>
      <c r="BS46" s="205" t="str">
        <f>IF(B46="", "",PTACs!AD15)</f>
        <v/>
      </c>
      <c r="BU46" s="44" t="str">
        <f>IF(B46="", "",PTACs!AD15)</f>
        <v/>
      </c>
      <c r="BV46" s="10" t="str">
        <f>IF(B46="", "",PTACs!AF15)</f>
        <v/>
      </c>
    </row>
    <row r="47" spans="1:74">
      <c r="A47" s="9" t="str">
        <f>IF(B47="", "", 46)</f>
        <v/>
      </c>
      <c r="B47" s="42" t="str">
        <f>IF(OR(PTACs!D16="", PTACs!N16="", PTACs!AG16="No"), "", PTACs!AH16)</f>
        <v/>
      </c>
      <c r="C47" s="9" t="str">
        <f>IF(B47="", "", 'Project Summary'!$C$7)</f>
        <v/>
      </c>
      <c r="D47" s="9" t="str">
        <f>IF(B47="", "", CONCATENATE('Project Summary'!$C$4, " - ", 'Project Summary'!$C$7))</f>
        <v/>
      </c>
      <c r="E47" s="6" t="str">
        <f t="shared" si="6"/>
        <v/>
      </c>
      <c r="F47" s="9" t="str">
        <f>IF(B47="", "", 'Project Summary'!$C$8)</f>
        <v/>
      </c>
      <c r="G47" s="9" t="str">
        <f>IF(B47="", "",PTACs!AJ16)</f>
        <v/>
      </c>
      <c r="H47" s="9" t="str">
        <f t="shared" si="7"/>
        <v/>
      </c>
      <c r="I47" s="10" t="str">
        <f>IF(B47="", "", 'Lookup Tables'!$C$2)</f>
        <v/>
      </c>
      <c r="J47" s="9" t="str">
        <f>IF(B47="", "",PTACs!D16)</f>
        <v/>
      </c>
      <c r="L47" s="204" t="str">
        <f>IF(B47="", "",PTACs!AI16)</f>
        <v/>
      </c>
      <c r="M47" s="204" t="str">
        <f>IF(B47="", "",PTACs!C16)</f>
        <v/>
      </c>
      <c r="N47" s="9" t="str">
        <f>IF(B47="", "",PTACs!C16)</f>
        <v/>
      </c>
      <c r="O47" s="9" t="str">
        <f>IF(B47="", "",PTACs!E16)</f>
        <v/>
      </c>
      <c r="P47" s="9" t="str">
        <f>IF(B47="", "",PTACs!J16)</f>
        <v/>
      </c>
      <c r="Q47" s="9" t="str">
        <f>IF(B47="", "",PTACs!K16)</f>
        <v/>
      </c>
      <c r="R47" s="9" t="str">
        <f>IF(B47="", "",PTACs!N16)</f>
        <v/>
      </c>
      <c r="T47" s="9" t="str">
        <f>IF(B47="", "",PTACs!Q16)</f>
        <v/>
      </c>
      <c r="Y47" s="202" t="str">
        <f>IF(B47="", "",PTACs!H16)</f>
        <v/>
      </c>
      <c r="AA47" s="29" t="str">
        <f>IF(B47="", "",PTACs!V16)</f>
        <v/>
      </c>
      <c r="AD47" s="29" t="str">
        <f>IF(B47="", "",PTACs!Y16)</f>
        <v/>
      </c>
      <c r="AG47" s="29" t="str">
        <f>IF(B47="", "",PTACs!AA16)</f>
        <v/>
      </c>
      <c r="AP47" s="45" t="str">
        <f>IF(B47="", "",PTACs!AA16)</f>
        <v/>
      </c>
      <c r="AY47" s="9" t="str">
        <f>IF(B47="", "",PTACs!P16)</f>
        <v/>
      </c>
      <c r="BC47" s="10" t="str">
        <f>IF(B47="", "",PTACs!O16)</f>
        <v/>
      </c>
      <c r="BM47" s="205"/>
      <c r="BN47" s="205"/>
      <c r="BO47" s="205"/>
      <c r="BP47" s="204" t="str">
        <f>IF(B47="", "",PTACs!$C$22)</f>
        <v/>
      </c>
      <c r="BQ47" s="205" t="str">
        <f>IF(B47="", "",PTACs!AC16)</f>
        <v/>
      </c>
      <c r="BR47" s="205" t="str">
        <f>IF(B47="", "",PTACs!AC16)</f>
        <v/>
      </c>
      <c r="BS47" s="205" t="str">
        <f>IF(B47="", "",PTACs!AD16)</f>
        <v/>
      </c>
      <c r="BU47" s="44" t="str">
        <f>IF(B47="", "",PTACs!AD16)</f>
        <v/>
      </c>
      <c r="BV47" s="10" t="str">
        <f>IF(B47="", "",PTACs!AF16)</f>
        <v/>
      </c>
    </row>
    <row r="48" spans="1:74">
      <c r="A48" s="9" t="str">
        <f>IF(B48="", "", 47)</f>
        <v/>
      </c>
      <c r="B48" s="42" t="str">
        <f>IF(OR(PTACs!D17="", PTACs!N17="", PTACs!AG17="No"), "", PTACs!AH17)</f>
        <v/>
      </c>
      <c r="C48" s="9" t="str">
        <f>IF(B48="", "", 'Project Summary'!$C$7)</f>
        <v/>
      </c>
      <c r="D48" s="9" t="str">
        <f>IF(B48="", "", CONCATENATE('Project Summary'!$C$4, " - ", 'Project Summary'!$C$7))</f>
        <v/>
      </c>
      <c r="E48" s="6" t="str">
        <f t="shared" si="6"/>
        <v/>
      </c>
      <c r="F48" s="9" t="str">
        <f>IF(B48="", "", 'Project Summary'!$C$8)</f>
        <v/>
      </c>
      <c r="G48" s="9" t="str">
        <f>IF(B48="", "",PTACs!AJ17)</f>
        <v/>
      </c>
      <c r="H48" s="9" t="str">
        <f t="shared" si="7"/>
        <v/>
      </c>
      <c r="I48" s="10" t="str">
        <f>IF(B48="", "", 'Lookup Tables'!$C$2)</f>
        <v/>
      </c>
      <c r="J48" s="9" t="str">
        <f>IF(B48="", "",PTACs!D17)</f>
        <v/>
      </c>
      <c r="L48" s="204" t="str">
        <f>IF(B48="", "",PTACs!AI17)</f>
        <v/>
      </c>
      <c r="M48" s="204" t="str">
        <f>IF(B48="", "",PTACs!C17)</f>
        <v/>
      </c>
      <c r="N48" s="9" t="str">
        <f>IF(B48="", "",PTACs!C17)</f>
        <v/>
      </c>
      <c r="O48" s="9" t="str">
        <f>IF(B48="", "",PTACs!E17)</f>
        <v/>
      </c>
      <c r="P48" s="9" t="str">
        <f>IF(B48="", "",PTACs!J17)</f>
        <v/>
      </c>
      <c r="Q48" s="9" t="str">
        <f>IF(B48="", "",PTACs!K17)</f>
        <v/>
      </c>
      <c r="R48" s="9" t="str">
        <f>IF(B48="", "",PTACs!N17)</f>
        <v/>
      </c>
      <c r="T48" s="9" t="str">
        <f>IF(B48="", "",PTACs!Q17)</f>
        <v/>
      </c>
      <c r="Y48" s="202" t="str">
        <f>IF(B48="", "",PTACs!H17)</f>
        <v/>
      </c>
      <c r="AA48" s="29" t="str">
        <f>IF(B48="", "",PTACs!V17)</f>
        <v/>
      </c>
      <c r="AD48" s="29" t="str">
        <f>IF(B48="", "",PTACs!Y17)</f>
        <v/>
      </c>
      <c r="AG48" s="29" t="str">
        <f>IF(B48="", "",PTACs!AA17)</f>
        <v/>
      </c>
      <c r="AP48" s="45" t="str">
        <f>IF(B48="", "",PTACs!AA17)</f>
        <v/>
      </c>
      <c r="AY48" s="9" t="str">
        <f>IF(B48="", "",PTACs!P17)</f>
        <v/>
      </c>
      <c r="BC48" s="10" t="str">
        <f>IF(B48="", "",PTACs!O17)</f>
        <v/>
      </c>
      <c r="BM48" s="205"/>
      <c r="BN48" s="205"/>
      <c r="BO48" s="205"/>
      <c r="BP48" s="204" t="str">
        <f>IF(B48="", "",PTACs!$C$22)</f>
        <v/>
      </c>
      <c r="BQ48" s="205" t="str">
        <f>IF(B48="", "",PTACs!AC17)</f>
        <v/>
      </c>
      <c r="BR48" s="205" t="str">
        <f>IF(B48="", "",PTACs!AC17)</f>
        <v/>
      </c>
      <c r="BS48" s="205" t="str">
        <f>IF(B48="", "",PTACs!AD17)</f>
        <v/>
      </c>
      <c r="BU48" s="44" t="str">
        <f>IF(B48="", "",PTACs!AD17)</f>
        <v/>
      </c>
      <c r="BV48" s="10" t="str">
        <f>IF(B48="", "",PTACs!AF17)</f>
        <v/>
      </c>
    </row>
    <row r="49" spans="1:74">
      <c r="A49" s="9" t="str">
        <f>IF(B49="", "", 48)</f>
        <v/>
      </c>
      <c r="B49" s="42" t="str">
        <f>IF(OR(PTACs!D18="", PTACs!N18="", PTACs!AG18="No"), "", PTACs!AH18)</f>
        <v/>
      </c>
      <c r="C49" s="9" t="str">
        <f>IF(B49="", "", 'Project Summary'!$C$7)</f>
        <v/>
      </c>
      <c r="D49" s="9" t="str">
        <f>IF(B49="", "", CONCATENATE('Project Summary'!$C$4, " - ", 'Project Summary'!$C$7))</f>
        <v/>
      </c>
      <c r="E49" s="6" t="str">
        <f t="shared" si="6"/>
        <v/>
      </c>
      <c r="F49" s="9" t="str">
        <f>IF(B49="", "", 'Project Summary'!$C$8)</f>
        <v/>
      </c>
      <c r="G49" s="9" t="str">
        <f>IF(B49="", "",PTACs!AJ18)</f>
        <v/>
      </c>
      <c r="H49" s="9" t="str">
        <f t="shared" si="7"/>
        <v/>
      </c>
      <c r="I49" s="10" t="str">
        <f>IF(B49="", "", 'Lookup Tables'!$C$2)</f>
        <v/>
      </c>
      <c r="J49" s="9" t="str">
        <f>IF(B49="", "",PTACs!D18)</f>
        <v/>
      </c>
      <c r="L49" s="204" t="str">
        <f>IF(B49="", "",PTACs!AI18)</f>
        <v/>
      </c>
      <c r="M49" s="204" t="str">
        <f>IF(B49="", "",PTACs!C18)</f>
        <v/>
      </c>
      <c r="N49" s="9" t="str">
        <f>IF(B49="", "",PTACs!C18)</f>
        <v/>
      </c>
      <c r="O49" s="9" t="str">
        <f>IF(B49="", "",PTACs!E18)</f>
        <v/>
      </c>
      <c r="P49" s="9" t="str">
        <f>IF(B49="", "",PTACs!J18)</f>
        <v/>
      </c>
      <c r="Q49" s="9" t="str">
        <f>IF(B49="", "",PTACs!K18)</f>
        <v/>
      </c>
      <c r="R49" s="9" t="str">
        <f>IF(B49="", "",PTACs!N18)</f>
        <v/>
      </c>
      <c r="T49" s="9" t="str">
        <f>IF(B49="", "",PTACs!Q18)</f>
        <v/>
      </c>
      <c r="Y49" s="202" t="str">
        <f>IF(B49="", "",PTACs!H18)</f>
        <v/>
      </c>
      <c r="AA49" s="29" t="str">
        <f>IF(B49="", "",PTACs!V18)</f>
        <v/>
      </c>
      <c r="AD49" s="29" t="str">
        <f>IF(B49="", "",PTACs!Y18)</f>
        <v/>
      </c>
      <c r="AG49" s="29" t="str">
        <f>IF(B49="", "",PTACs!AA18)</f>
        <v/>
      </c>
      <c r="AP49" s="45" t="str">
        <f>IF(B49="", "",PTACs!AA18)</f>
        <v/>
      </c>
      <c r="AY49" s="9" t="str">
        <f>IF(B49="", "",PTACs!P18)</f>
        <v/>
      </c>
      <c r="BC49" s="10" t="str">
        <f>IF(B49="", "",PTACs!O18)</f>
        <v/>
      </c>
      <c r="BM49" s="205"/>
      <c r="BN49" s="205"/>
      <c r="BO49" s="205"/>
      <c r="BP49" s="204" t="str">
        <f>IF(B49="", "",PTACs!$C$22)</f>
        <v/>
      </c>
      <c r="BQ49" s="205" t="str">
        <f>IF(B49="", "",PTACs!AC18)</f>
        <v/>
      </c>
      <c r="BR49" s="205" t="str">
        <f>IF(B49="", "",PTACs!AC18)</f>
        <v/>
      </c>
      <c r="BS49" s="205" t="str">
        <f>IF(B49="", "",PTACs!AD18)</f>
        <v/>
      </c>
      <c r="BU49" s="44" t="str">
        <f>IF(B49="", "",PTACs!AD18)</f>
        <v/>
      </c>
      <c r="BV49" s="10" t="str">
        <f>IF(B49="", "",PTACs!AF18)</f>
        <v/>
      </c>
    </row>
    <row r="50" spans="1:74">
      <c r="A50" s="9" t="str">
        <f>IF(B50="", "", 49)</f>
        <v/>
      </c>
      <c r="B50" s="42" t="str">
        <f>IF(OR(PTHPs!D11="", PTHPs!N11="", PTHPs!BB11="No"), "", PTHPs!BC11)</f>
        <v/>
      </c>
      <c r="C50" s="9" t="str">
        <f>IF(B50="", "", 'Project Summary'!$C$7)</f>
        <v/>
      </c>
      <c r="D50" s="9" t="str">
        <f>IF(B50="", "", CONCATENATE('Project Summary'!$C$4, " - ", 'Project Summary'!$C$7))</f>
        <v/>
      </c>
      <c r="E50" s="6" t="str">
        <f t="shared" ref="E50:E57" si="8">IF(B50="", "", "FPHVPR")</f>
        <v/>
      </c>
      <c r="F50" s="9" t="str">
        <f>IF(B50="", "", 'Project Summary'!$C$8)</f>
        <v/>
      </c>
      <c r="G50" s="9" t="str">
        <f>IF(B50="", "",PTHPs!BE11)</f>
        <v/>
      </c>
      <c r="H50" s="9" t="str">
        <f t="shared" ref="H50:H57" si="9">IF(B50="", "", CONCATENATE(C50, A50))</f>
        <v/>
      </c>
      <c r="I50" s="10" t="str">
        <f>IF(B50="", "", 'Lookup Tables'!$C$2)</f>
        <v/>
      </c>
      <c r="J50" s="9" t="str">
        <f>IF(B50="", "",PTHPs!D11)</f>
        <v/>
      </c>
      <c r="L50" s="204" t="str">
        <f>IF(B50="", "",PTHPs!BD11)</f>
        <v/>
      </c>
      <c r="M50" s="204" t="str">
        <f>IF(B50="", "",PTHPs!C11)</f>
        <v/>
      </c>
      <c r="N50" s="9" t="str">
        <f>IF(B50="", "",PTHPs!C11)</f>
        <v/>
      </c>
      <c r="O50" s="9" t="str">
        <f>IF(B50="", "",PTHPs!E11)</f>
        <v/>
      </c>
      <c r="P50" s="9" t="str">
        <f>IF(B50="", "",PTHPs!K11)</f>
        <v/>
      </c>
      <c r="Q50" s="9" t="str">
        <f>IF(B50="", "",PTHPs!L11)</f>
        <v/>
      </c>
      <c r="R50" s="9" t="str">
        <f>IF(B50="", "",PTHPs!N11)</f>
        <v/>
      </c>
      <c r="S50" s="9" t="str">
        <f>IF(B50="", "",PTHPs!O11)</f>
        <v/>
      </c>
      <c r="T50" s="9" t="str">
        <f>IF(B50="", "",PTHPs!U11)</f>
        <v/>
      </c>
      <c r="Y50" s="202" t="str">
        <f>IF(B50="", "",PTHPs!H11)</f>
        <v/>
      </c>
      <c r="AA50" s="29" t="str">
        <f>IF(B50="", "",PTHPs!Z11)</f>
        <v/>
      </c>
      <c r="AD50" s="29" t="str">
        <f>IF(B50="", "",PTHPs!AC11)</f>
        <v/>
      </c>
      <c r="AG50" s="29" t="str">
        <f>IF(B50="", "", PTHPs!#REF!)</f>
        <v/>
      </c>
      <c r="AP50" s="45" t="str">
        <f>IF(B50="", "",PTHPs!#REF!)</f>
        <v/>
      </c>
      <c r="AT50" s="29" t="str">
        <f>IF(B50="", "",PTHPs!AK11)</f>
        <v/>
      </c>
      <c r="AV50" s="29" t="str">
        <f>IF(B50="", "",PTHPs!AN11)</f>
        <v/>
      </c>
      <c r="AX50" s="29" t="str">
        <f>IF(B50="", "",PTHPs!#REF!)</f>
        <v/>
      </c>
      <c r="AY50" s="9" t="str">
        <f>IF(B50="", "",PTHPs!R11)</f>
        <v/>
      </c>
      <c r="AZ50" s="204" t="str">
        <f>IF(B50="", "",PTHPs!S11)</f>
        <v/>
      </c>
      <c r="BC50" s="10" t="str">
        <f>IF(B50="", "",PTHPs!Q11)</f>
        <v/>
      </c>
      <c r="BM50" s="205"/>
      <c r="BN50" s="205"/>
      <c r="BO50" s="205"/>
      <c r="BP50" s="204" t="str">
        <f>IF(B50="", "",PTHPs!$C$23)</f>
        <v/>
      </c>
      <c r="BQ50" s="205" t="str">
        <f>IF(B50="", "",PTHPs!AV11)</f>
        <v/>
      </c>
      <c r="BR50" s="205" t="str">
        <f>IF(B50="", "",PTHPs!AV11)</f>
        <v/>
      </c>
      <c r="BS50" s="205" t="str">
        <f>IF(B50="", "",PTHPs!AW11)</f>
        <v/>
      </c>
      <c r="BT50" s="44" t="str">
        <f>IF(B50="", "",PTHPs!AX11)</f>
        <v/>
      </c>
      <c r="BU50" s="44" t="str">
        <f>IF(B50="", "",PTHPs!AY11)</f>
        <v/>
      </c>
      <c r="BV50" s="10" t="str">
        <f>IF(B50="", "",PTHPs!BA11)</f>
        <v/>
      </c>
    </row>
    <row r="51" spans="1:74">
      <c r="A51" s="9" t="str">
        <f>IF(B51="", "", 50)</f>
        <v/>
      </c>
      <c r="B51" s="42" t="str">
        <f>IF(OR(PTHPs!D12="", PTHPs!N12="", PTHPs!BB12="No"), "", PTHPs!BC12)</f>
        <v/>
      </c>
      <c r="C51" s="9" t="str">
        <f>IF(B51="", "", 'Project Summary'!$C$7)</f>
        <v/>
      </c>
      <c r="D51" s="9" t="str">
        <f>IF(B51="", "", CONCATENATE('Project Summary'!$C$4, " - ", 'Project Summary'!$C$7))</f>
        <v/>
      </c>
      <c r="E51" s="6" t="str">
        <f t="shared" si="8"/>
        <v/>
      </c>
      <c r="F51" s="9" t="str">
        <f>IF(B51="", "", 'Project Summary'!$C$8)</f>
        <v/>
      </c>
      <c r="G51" s="9" t="str">
        <f>IF(B51="", "",PTHPs!BE12)</f>
        <v/>
      </c>
      <c r="H51" s="9" t="str">
        <f t="shared" si="9"/>
        <v/>
      </c>
      <c r="I51" s="10" t="str">
        <f>IF(B51="", "", 'Lookup Tables'!$C$2)</f>
        <v/>
      </c>
      <c r="J51" s="9" t="str">
        <f>IF(B51="", "",PTHPs!D12)</f>
        <v/>
      </c>
      <c r="L51" s="204" t="str">
        <f>IF(B51="", "",PTHPs!BD12)</f>
        <v/>
      </c>
      <c r="M51" s="204" t="str">
        <f>IF(B51="", "",PTHPs!C12)</f>
        <v/>
      </c>
      <c r="N51" s="9" t="str">
        <f>IF(B51="", "",PTHPs!C12)</f>
        <v/>
      </c>
      <c r="O51" s="9" t="str">
        <f>IF(B51="", "",PTHPs!E12)</f>
        <v/>
      </c>
      <c r="P51" s="9" t="str">
        <f>IF(B51="", "",PTHPs!K12)</f>
        <v/>
      </c>
      <c r="Q51" s="9" t="str">
        <f>IF(B51="", "",PTHPs!L12)</f>
        <v/>
      </c>
      <c r="R51" s="9" t="str">
        <f>IF(B51="", "",PTHPs!N12)</f>
        <v/>
      </c>
      <c r="S51" s="9" t="str">
        <f>IF(B51="", "",PTHPs!O12)</f>
        <v/>
      </c>
      <c r="T51" s="9" t="str">
        <f>IF(B51="", "",PTHPs!U12)</f>
        <v/>
      </c>
      <c r="Y51" s="202" t="str">
        <f>IF(B51="", "",PTHPs!H12)</f>
        <v/>
      </c>
      <c r="AA51" s="29" t="str">
        <f>IF(B51="", "",PTHPs!Z12)</f>
        <v/>
      </c>
      <c r="AD51" s="29" t="str">
        <f>IF(B51="", "",PTHPs!AC12)</f>
        <v/>
      </c>
      <c r="AG51" s="29" t="str">
        <f>IF(B51="", "", PTHPs!#REF!)</f>
        <v/>
      </c>
      <c r="AP51" s="45" t="str">
        <f>IF(B51="", "",PTHPs!#REF!)</f>
        <v/>
      </c>
      <c r="AT51" s="29" t="str">
        <f>IF(B51="", "",PTHPs!AK12)</f>
        <v/>
      </c>
      <c r="AV51" s="29" t="str">
        <f>IF(B51="", "",PTHPs!AN12)</f>
        <v/>
      </c>
      <c r="AX51" s="29" t="str">
        <f>IF(B51="", "",PTHPs!#REF!)</f>
        <v/>
      </c>
      <c r="AY51" s="9" t="str">
        <f>IF(B51="", "",PTHPs!R12)</f>
        <v/>
      </c>
      <c r="AZ51" s="204" t="str">
        <f>IF(B51="", "",PTHPs!S12)</f>
        <v/>
      </c>
      <c r="BC51" s="10" t="str">
        <f>IF(B51="", "",PTHPs!Q12)</f>
        <v/>
      </c>
      <c r="BM51" s="205"/>
      <c r="BN51" s="205"/>
      <c r="BO51" s="205"/>
      <c r="BP51" s="204" t="str">
        <f>IF(B51="", "",PTHPs!$C$23)</f>
        <v/>
      </c>
      <c r="BQ51" s="205" t="str">
        <f>IF(B51="", "",PTHPs!AV12)</f>
        <v/>
      </c>
      <c r="BR51" s="205" t="str">
        <f>IF(B51="", "",PTHPs!AV12)</f>
        <v/>
      </c>
      <c r="BS51" s="205" t="str">
        <f>IF(B51="", "",PTHPs!AW12)</f>
        <v/>
      </c>
      <c r="BT51" s="44" t="str">
        <f>IF(B51="", "",PTHPs!AX12)</f>
        <v/>
      </c>
      <c r="BU51" s="44" t="str">
        <f>IF(B51="", "",PTHPs!AY12)</f>
        <v/>
      </c>
      <c r="BV51" s="10" t="str">
        <f>IF(B51="", "",PTHPs!BA12)</f>
        <v/>
      </c>
    </row>
    <row r="52" spans="1:74">
      <c r="A52" s="9" t="str">
        <f>IF(B52="", "", 51)</f>
        <v/>
      </c>
      <c r="B52" s="42" t="str">
        <f>IF(OR(PTHPs!D13="", PTHPs!N13="", PTHPs!BB13="No"), "", PTHPs!BC13)</f>
        <v/>
      </c>
      <c r="C52" s="9" t="str">
        <f>IF(B52="", "", 'Project Summary'!$C$7)</f>
        <v/>
      </c>
      <c r="D52" s="9" t="str">
        <f>IF(B52="", "", CONCATENATE('Project Summary'!$C$4, " - ", 'Project Summary'!$C$7))</f>
        <v/>
      </c>
      <c r="E52" s="6" t="str">
        <f t="shared" si="8"/>
        <v/>
      </c>
      <c r="F52" s="9" t="str">
        <f>IF(B52="", "", 'Project Summary'!$C$8)</f>
        <v/>
      </c>
      <c r="G52" s="9" t="str">
        <f>IF(B52="", "",PTHPs!BE13)</f>
        <v/>
      </c>
      <c r="H52" s="9" t="str">
        <f t="shared" si="9"/>
        <v/>
      </c>
      <c r="I52" s="10" t="str">
        <f>IF(B52="", "", 'Lookup Tables'!$C$2)</f>
        <v/>
      </c>
      <c r="J52" s="9" t="str">
        <f>IF(B52="", "",PTHPs!D13)</f>
        <v/>
      </c>
      <c r="L52" s="204" t="str">
        <f>IF(B52="", "",PTHPs!BD13)</f>
        <v/>
      </c>
      <c r="M52" s="204" t="str">
        <f>IF(B52="", "",PTHPs!C13)</f>
        <v/>
      </c>
      <c r="N52" s="9" t="str">
        <f>IF(B52="", "",PTHPs!C13)</f>
        <v/>
      </c>
      <c r="O52" s="9" t="str">
        <f>IF(B52="", "",PTHPs!E13)</f>
        <v/>
      </c>
      <c r="P52" s="9" t="str">
        <f>IF(B52="", "",PTHPs!K13)</f>
        <v/>
      </c>
      <c r="Q52" s="9" t="str">
        <f>IF(B52="", "",PTHPs!L13)</f>
        <v/>
      </c>
      <c r="R52" s="9" t="str">
        <f>IF(B52="", "",PTHPs!N13)</f>
        <v/>
      </c>
      <c r="S52" s="9" t="str">
        <f>IF(B52="", "",PTHPs!O13)</f>
        <v/>
      </c>
      <c r="T52" s="9" t="str">
        <f>IF(B52="", "",PTHPs!U13)</f>
        <v/>
      </c>
      <c r="Y52" s="202" t="str">
        <f>IF(B52="", "",PTHPs!H13)</f>
        <v/>
      </c>
      <c r="AA52" s="29" t="str">
        <f>IF(B52="", "",PTHPs!Z13)</f>
        <v/>
      </c>
      <c r="AD52" s="29" t="str">
        <f>IF(B52="", "",PTHPs!AC13)</f>
        <v/>
      </c>
      <c r="AG52" s="29" t="str">
        <f>IF(B52="", "", PTHPs!#REF!)</f>
        <v/>
      </c>
      <c r="AP52" s="45" t="str">
        <f>IF(B52="", "",PTHPs!#REF!)</f>
        <v/>
      </c>
      <c r="AT52" s="29" t="str">
        <f>IF(B52="", "",PTHPs!AK13)</f>
        <v/>
      </c>
      <c r="AV52" s="29" t="str">
        <f>IF(B52="", "",PTHPs!AN13)</f>
        <v/>
      </c>
      <c r="AX52" s="29" t="str">
        <f>IF(B52="", "",PTHPs!#REF!)</f>
        <v/>
      </c>
      <c r="AY52" s="9" t="str">
        <f>IF(B52="", "",PTHPs!R13)</f>
        <v/>
      </c>
      <c r="AZ52" s="204" t="str">
        <f>IF(B52="", "",PTHPs!S13)</f>
        <v/>
      </c>
      <c r="BC52" s="10" t="str">
        <f>IF(B52="", "",PTHPs!Q13)</f>
        <v/>
      </c>
      <c r="BM52" s="205"/>
      <c r="BN52" s="205"/>
      <c r="BO52" s="205"/>
      <c r="BP52" s="204" t="str">
        <f>IF(B52="", "",PTHPs!$C$23)</f>
        <v/>
      </c>
      <c r="BQ52" s="205" t="str">
        <f>IF(B52="", "",PTHPs!AV13)</f>
        <v/>
      </c>
      <c r="BR52" s="205" t="str">
        <f>IF(B52="", "",PTHPs!AV13)</f>
        <v/>
      </c>
      <c r="BS52" s="205" t="str">
        <f>IF(B52="", "",PTHPs!AW13)</f>
        <v/>
      </c>
      <c r="BT52" s="44" t="str">
        <f>IF(B52="", "",PTHPs!AX13)</f>
        <v/>
      </c>
      <c r="BU52" s="44" t="str">
        <f>IF(B52="", "",PTHPs!AY13)</f>
        <v/>
      </c>
      <c r="BV52" s="10" t="str">
        <f>IF(B52="", "",PTHPs!BA13)</f>
        <v/>
      </c>
    </row>
    <row r="53" spans="1:74">
      <c r="A53" s="9" t="str">
        <f>IF(B53="", "", 52)</f>
        <v/>
      </c>
      <c r="B53" s="42" t="str">
        <f>IF(OR(PTHPs!D14="", PTHPs!N14="", PTHPs!BB14="No"), "", PTHPs!BC14)</f>
        <v/>
      </c>
      <c r="C53" s="9" t="str">
        <f>IF(B53="", "", 'Project Summary'!$C$7)</f>
        <v/>
      </c>
      <c r="D53" s="9" t="str">
        <f>IF(B53="", "", CONCATENATE('Project Summary'!$C$4, " - ", 'Project Summary'!$C$7))</f>
        <v/>
      </c>
      <c r="E53" s="6" t="str">
        <f t="shared" si="8"/>
        <v/>
      </c>
      <c r="F53" s="9" t="str">
        <f>IF(B53="", "", 'Project Summary'!$C$8)</f>
        <v/>
      </c>
      <c r="G53" s="9" t="str">
        <f>IF(B53="", "",PTHPs!BE14)</f>
        <v/>
      </c>
      <c r="H53" s="9" t="str">
        <f t="shared" si="9"/>
        <v/>
      </c>
      <c r="I53" s="10" t="str">
        <f>IF(B53="", "", 'Lookup Tables'!$C$2)</f>
        <v/>
      </c>
      <c r="J53" s="9" t="str">
        <f>IF(B53="", "",PTHPs!D14)</f>
        <v/>
      </c>
      <c r="L53" s="204" t="str">
        <f>IF(B53="", "",PTHPs!BD14)</f>
        <v/>
      </c>
      <c r="M53" s="204" t="str">
        <f>IF(B53="", "",PTHPs!C14)</f>
        <v/>
      </c>
      <c r="N53" s="9" t="str">
        <f>IF(B53="", "",PTHPs!C14)</f>
        <v/>
      </c>
      <c r="O53" s="9" t="str">
        <f>IF(B53="", "",PTHPs!E14)</f>
        <v/>
      </c>
      <c r="P53" s="9" t="str">
        <f>IF(B53="", "",PTHPs!K14)</f>
        <v/>
      </c>
      <c r="Q53" s="9" t="str">
        <f>IF(B53="", "",PTHPs!L14)</f>
        <v/>
      </c>
      <c r="R53" s="9" t="str">
        <f>IF(B53="", "",PTHPs!N14)</f>
        <v/>
      </c>
      <c r="S53" s="9" t="str">
        <f>IF(B53="", "",PTHPs!O14)</f>
        <v/>
      </c>
      <c r="T53" s="9" t="str">
        <f>IF(B53="", "",PTHPs!U14)</f>
        <v/>
      </c>
      <c r="Y53" s="202" t="str">
        <f>IF(B53="", "",PTHPs!H14)</f>
        <v/>
      </c>
      <c r="AA53" s="29" t="str">
        <f>IF(B53="", "",PTHPs!Z14)</f>
        <v/>
      </c>
      <c r="AD53" s="29" t="str">
        <f>IF(B53="", "",PTHPs!AC14)</f>
        <v/>
      </c>
      <c r="AG53" s="29" t="str">
        <f>IF(B53="", "", PTHPs!#REF!)</f>
        <v/>
      </c>
      <c r="AP53" s="45" t="str">
        <f>IF(B53="", "",PTHPs!#REF!)</f>
        <v/>
      </c>
      <c r="AT53" s="29" t="str">
        <f>IF(B53="", "",PTHPs!AK14)</f>
        <v/>
      </c>
      <c r="AV53" s="29" t="str">
        <f>IF(B53="", "",PTHPs!AN14)</f>
        <v/>
      </c>
      <c r="AX53" s="29" t="str">
        <f>IF(B53="", "",PTHPs!#REF!)</f>
        <v/>
      </c>
      <c r="AY53" s="9" t="str">
        <f>IF(B53="", "",PTHPs!R14)</f>
        <v/>
      </c>
      <c r="AZ53" s="204" t="str">
        <f>IF(B53="", "",PTHPs!S14)</f>
        <v/>
      </c>
      <c r="BC53" s="10" t="str">
        <f>IF(B53="", "",PTHPs!Q14)</f>
        <v/>
      </c>
      <c r="BM53" s="205"/>
      <c r="BN53" s="205"/>
      <c r="BO53" s="205"/>
      <c r="BP53" s="204" t="str">
        <f>IF(B53="", "",PTHPs!$C$23)</f>
        <v/>
      </c>
      <c r="BQ53" s="205" t="str">
        <f>IF(B53="", "",PTHPs!AV14)</f>
        <v/>
      </c>
      <c r="BR53" s="205" t="str">
        <f>IF(B53="", "",PTHPs!AV14)</f>
        <v/>
      </c>
      <c r="BS53" s="205" t="str">
        <f>IF(B53="", "",PTHPs!AW14)</f>
        <v/>
      </c>
      <c r="BT53" s="44" t="str">
        <f>IF(B53="", "",PTHPs!AX14)</f>
        <v/>
      </c>
      <c r="BU53" s="44" t="str">
        <f>IF(B53="", "",PTHPs!AY14)</f>
        <v/>
      </c>
      <c r="BV53" s="10" t="str">
        <f>IF(B53="", "",PTHPs!BA14)</f>
        <v/>
      </c>
    </row>
    <row r="54" spans="1:74">
      <c r="A54" s="9" t="str">
        <f>IF(B54="", "", 53)</f>
        <v/>
      </c>
      <c r="B54" s="42" t="str">
        <f>IF(OR(PTHPs!D15="", PTHPs!N15="", PTHPs!BB15="No"), "", PTHPs!BC15)</f>
        <v/>
      </c>
      <c r="C54" s="9" t="str">
        <f>IF(B54="", "", 'Project Summary'!$C$7)</f>
        <v/>
      </c>
      <c r="D54" s="9" t="str">
        <f>IF(B54="", "", CONCATENATE('Project Summary'!$C$4, " - ", 'Project Summary'!$C$7))</f>
        <v/>
      </c>
      <c r="E54" s="6" t="str">
        <f t="shared" si="8"/>
        <v/>
      </c>
      <c r="F54" s="9" t="str">
        <f>IF(B54="", "", 'Project Summary'!$C$8)</f>
        <v/>
      </c>
      <c r="G54" s="9" t="str">
        <f>IF(B54="", "",PTHPs!BE15)</f>
        <v/>
      </c>
      <c r="H54" s="9" t="str">
        <f t="shared" si="9"/>
        <v/>
      </c>
      <c r="I54" s="10" t="str">
        <f>IF(B54="", "", 'Lookup Tables'!$C$2)</f>
        <v/>
      </c>
      <c r="J54" s="9" t="str">
        <f>IF(B54="", "",PTHPs!D15)</f>
        <v/>
      </c>
      <c r="L54" s="204" t="str">
        <f>IF(B54="", "",PTHPs!BD15)</f>
        <v/>
      </c>
      <c r="M54" s="204" t="str">
        <f>IF(B54="", "",PTHPs!C15)</f>
        <v/>
      </c>
      <c r="N54" s="9" t="str">
        <f>IF(B54="", "",PTHPs!C15)</f>
        <v/>
      </c>
      <c r="O54" s="9" t="str">
        <f>IF(B54="", "",PTHPs!E15)</f>
        <v/>
      </c>
      <c r="P54" s="9" t="str">
        <f>IF(B54="", "",PTHPs!K15)</f>
        <v/>
      </c>
      <c r="Q54" s="9" t="str">
        <f>IF(B54="", "",PTHPs!L15)</f>
        <v/>
      </c>
      <c r="R54" s="9" t="str">
        <f>IF(B54="", "",PTHPs!N15)</f>
        <v/>
      </c>
      <c r="S54" s="9" t="str">
        <f>IF(B54="", "",PTHPs!O15)</f>
        <v/>
      </c>
      <c r="T54" s="9" t="str">
        <f>IF(B54="", "",PTHPs!U15)</f>
        <v/>
      </c>
      <c r="Y54" s="202" t="str">
        <f>IF(B54="", "",PTHPs!H15)</f>
        <v/>
      </c>
      <c r="AA54" s="29" t="str">
        <f>IF(B54="", "",PTHPs!Z15)</f>
        <v/>
      </c>
      <c r="AD54" s="29" t="str">
        <f>IF(B54="", "",PTHPs!AC15)</f>
        <v/>
      </c>
      <c r="AG54" s="29" t="str">
        <f>IF(B54="", "", PTHPs!#REF!)</f>
        <v/>
      </c>
      <c r="AP54" s="45" t="str">
        <f>IF(B54="", "",PTHPs!#REF!)</f>
        <v/>
      </c>
      <c r="AT54" s="29" t="str">
        <f>IF(B54="", "",PTHPs!AK15)</f>
        <v/>
      </c>
      <c r="AV54" s="29" t="str">
        <f>IF(B54="", "",PTHPs!AN15)</f>
        <v/>
      </c>
      <c r="AX54" s="29" t="str">
        <f>IF(B54="", "",PTHPs!#REF!)</f>
        <v/>
      </c>
      <c r="AY54" s="9" t="str">
        <f>IF(B54="", "",PTHPs!R15)</f>
        <v/>
      </c>
      <c r="AZ54" s="204" t="str">
        <f>IF(B54="", "",PTHPs!S15)</f>
        <v/>
      </c>
      <c r="BC54" s="10" t="str">
        <f>IF(B54="", "",PTHPs!Q15)</f>
        <v/>
      </c>
      <c r="BM54" s="205"/>
      <c r="BN54" s="205"/>
      <c r="BO54" s="205"/>
      <c r="BP54" s="204" t="str">
        <f>IF(B54="", "",PTHPs!$C$23)</f>
        <v/>
      </c>
      <c r="BQ54" s="205" t="str">
        <f>IF(B54="", "",PTHPs!AV15)</f>
        <v/>
      </c>
      <c r="BR54" s="205" t="str">
        <f>IF(B54="", "",PTHPs!AV15)</f>
        <v/>
      </c>
      <c r="BS54" s="205" t="str">
        <f>IF(B54="", "",PTHPs!AW15)</f>
        <v/>
      </c>
      <c r="BT54" s="44" t="str">
        <f>IF(B54="", "",PTHPs!AX15)</f>
        <v/>
      </c>
      <c r="BU54" s="44" t="str">
        <f>IF(B54="", "",PTHPs!AY15)</f>
        <v/>
      </c>
      <c r="BV54" s="10" t="str">
        <f>IF(B54="", "",PTHPs!BA15)</f>
        <v/>
      </c>
    </row>
    <row r="55" spans="1:74">
      <c r="A55" s="9" t="str">
        <f>IF(B55="", "", 54)</f>
        <v/>
      </c>
      <c r="B55" s="42" t="str">
        <f>IF(OR(PTHPs!D16="", PTHPs!N16="", PTHPs!BB16="No"), "", PTHPs!BC16)</f>
        <v/>
      </c>
      <c r="C55" s="9" t="str">
        <f>IF(B55="", "", 'Project Summary'!$C$7)</f>
        <v/>
      </c>
      <c r="D55" s="9" t="str">
        <f>IF(B55="", "", CONCATENATE('Project Summary'!$C$4, " - ", 'Project Summary'!$C$7))</f>
        <v/>
      </c>
      <c r="E55" s="6" t="str">
        <f t="shared" si="8"/>
        <v/>
      </c>
      <c r="F55" s="9" t="str">
        <f>IF(B55="", "", 'Project Summary'!$C$8)</f>
        <v/>
      </c>
      <c r="G55" s="9" t="str">
        <f>IF(B55="", "",PTHPs!BE16)</f>
        <v/>
      </c>
      <c r="H55" s="9" t="str">
        <f t="shared" si="9"/>
        <v/>
      </c>
      <c r="I55" s="10" t="str">
        <f>IF(B55="", "", 'Lookup Tables'!$C$2)</f>
        <v/>
      </c>
      <c r="J55" s="9" t="str">
        <f>IF(B55="", "",PTHPs!D16)</f>
        <v/>
      </c>
      <c r="L55" s="204" t="str">
        <f>IF(B55="", "",PTHPs!BD16)</f>
        <v/>
      </c>
      <c r="M55" s="204" t="str">
        <f>IF(B55="", "",PTHPs!C16)</f>
        <v/>
      </c>
      <c r="N55" s="9" t="str">
        <f>IF(B55="", "",PTHPs!C16)</f>
        <v/>
      </c>
      <c r="O55" s="9" t="str">
        <f>IF(B55="", "",PTHPs!E16)</f>
        <v/>
      </c>
      <c r="P55" s="9" t="str">
        <f>IF(B55="", "",PTHPs!K16)</f>
        <v/>
      </c>
      <c r="Q55" s="9" t="str">
        <f>IF(B55="", "",PTHPs!L16)</f>
        <v/>
      </c>
      <c r="R55" s="9" t="str">
        <f>IF(B55="", "",PTHPs!N16)</f>
        <v/>
      </c>
      <c r="S55" s="9" t="str">
        <f>IF(B55="", "",PTHPs!O16)</f>
        <v/>
      </c>
      <c r="T55" s="9" t="str">
        <f>IF(B55="", "",PTHPs!U16)</f>
        <v/>
      </c>
      <c r="Y55" s="202" t="str">
        <f>IF(B55="", "",PTHPs!H16)</f>
        <v/>
      </c>
      <c r="AA55" s="29" t="str">
        <f>IF(B55="", "",PTHPs!Z16)</f>
        <v/>
      </c>
      <c r="AD55" s="29" t="str">
        <f>IF(B55="", "",PTHPs!AC16)</f>
        <v/>
      </c>
      <c r="AG55" s="29" t="str">
        <f>IF(B55="", "", PTHPs!#REF!)</f>
        <v/>
      </c>
      <c r="AP55" s="45" t="str">
        <f>IF(B55="", "",PTHPs!#REF!)</f>
        <v/>
      </c>
      <c r="AT55" s="29" t="str">
        <f>IF(B55="", "",PTHPs!AK16)</f>
        <v/>
      </c>
      <c r="AV55" s="29" t="str">
        <f>IF(B55="", "",PTHPs!AN16)</f>
        <v/>
      </c>
      <c r="AX55" s="29" t="str">
        <f>IF(B55="", "",PTHPs!#REF!)</f>
        <v/>
      </c>
      <c r="AY55" s="9" t="str">
        <f>IF(B55="", "",PTHPs!R16)</f>
        <v/>
      </c>
      <c r="AZ55" s="204" t="str">
        <f>IF(B55="", "",PTHPs!S16)</f>
        <v/>
      </c>
      <c r="BC55" s="10" t="str">
        <f>IF(B55="", "",PTHPs!Q16)</f>
        <v/>
      </c>
      <c r="BM55" s="205"/>
      <c r="BN55" s="205"/>
      <c r="BO55" s="205"/>
      <c r="BP55" s="204" t="str">
        <f>IF(B55="", "",PTHPs!$C$23)</f>
        <v/>
      </c>
      <c r="BQ55" s="205" t="str">
        <f>IF(B55="", "",PTHPs!AV16)</f>
        <v/>
      </c>
      <c r="BR55" s="205" t="str">
        <f>IF(B55="", "",PTHPs!AV16)</f>
        <v/>
      </c>
      <c r="BS55" s="205" t="str">
        <f>IF(B55="", "",PTHPs!AW16)</f>
        <v/>
      </c>
      <c r="BT55" s="44" t="str">
        <f>IF(B55="", "",PTHPs!AX16)</f>
        <v/>
      </c>
      <c r="BU55" s="44" t="str">
        <f>IF(B55="", "",PTHPs!AY16)</f>
        <v/>
      </c>
      <c r="BV55" s="10" t="str">
        <f>IF(B55="", "",PTHPs!BA16)</f>
        <v/>
      </c>
    </row>
    <row r="56" spans="1:74">
      <c r="A56" s="9" t="str">
        <f>IF(B56="", "", 55)</f>
        <v/>
      </c>
      <c r="B56" s="42" t="str">
        <f>IF(OR(PTHPs!D17="", PTHPs!N17="", PTHPs!BB17="No"), "", PTHPs!BC17)</f>
        <v/>
      </c>
      <c r="C56" s="9" t="str">
        <f>IF(B56="", "", 'Project Summary'!$C$7)</f>
        <v/>
      </c>
      <c r="D56" s="9" t="str">
        <f>IF(B56="", "", CONCATENATE('Project Summary'!$C$4, " - ", 'Project Summary'!$C$7))</f>
        <v/>
      </c>
      <c r="E56" s="6" t="str">
        <f t="shared" si="8"/>
        <v/>
      </c>
      <c r="F56" s="9" t="str">
        <f>IF(B56="", "", 'Project Summary'!$C$8)</f>
        <v/>
      </c>
      <c r="G56" s="9" t="str">
        <f>IF(B56="", "",PTHPs!BE17)</f>
        <v/>
      </c>
      <c r="H56" s="9" t="str">
        <f t="shared" si="9"/>
        <v/>
      </c>
      <c r="I56" s="10" t="str">
        <f>IF(B56="", "", 'Lookup Tables'!$C$2)</f>
        <v/>
      </c>
      <c r="J56" s="9" t="str">
        <f>IF(B56="", "",PTHPs!D17)</f>
        <v/>
      </c>
      <c r="L56" s="204" t="str">
        <f>IF(B56="", "",PTHPs!BD17)</f>
        <v/>
      </c>
      <c r="M56" s="204" t="str">
        <f>IF(B56="", "",PTHPs!C17)</f>
        <v/>
      </c>
      <c r="N56" s="9" t="str">
        <f>IF(B56="", "",PTHPs!C17)</f>
        <v/>
      </c>
      <c r="O56" s="9" t="str">
        <f>IF(B56="", "",PTHPs!E17)</f>
        <v/>
      </c>
      <c r="P56" s="9" t="str">
        <f>IF(B56="", "",PTHPs!K17)</f>
        <v/>
      </c>
      <c r="Q56" s="9" t="str">
        <f>IF(B56="", "",PTHPs!L17)</f>
        <v/>
      </c>
      <c r="R56" s="9" t="str">
        <f>IF(B56="", "",PTHPs!N17)</f>
        <v/>
      </c>
      <c r="S56" s="9" t="str">
        <f>IF(B56="", "",PTHPs!O17)</f>
        <v/>
      </c>
      <c r="T56" s="9" t="str">
        <f>IF(B56="", "",PTHPs!U17)</f>
        <v/>
      </c>
      <c r="Y56" s="202" t="str">
        <f>IF(B56="", "",PTHPs!H17)</f>
        <v/>
      </c>
      <c r="AA56" s="29" t="str">
        <f>IF(B56="", "",PTHPs!Z17)</f>
        <v/>
      </c>
      <c r="AD56" s="29" t="str">
        <f>IF(B56="", "",PTHPs!AC17)</f>
        <v/>
      </c>
      <c r="AG56" s="29" t="str">
        <f>IF(B56="", "", PTHPs!#REF!)</f>
        <v/>
      </c>
      <c r="AP56" s="45" t="str">
        <f>IF(B56="", "",PTHPs!#REF!)</f>
        <v/>
      </c>
      <c r="AT56" s="29" t="str">
        <f>IF(B56="", "",PTHPs!AK17)</f>
        <v/>
      </c>
      <c r="AV56" s="29" t="str">
        <f>IF(B56="", "",PTHPs!AN17)</f>
        <v/>
      </c>
      <c r="AX56" s="29" t="str">
        <f>IF(B56="", "",PTHPs!#REF!)</f>
        <v/>
      </c>
      <c r="AY56" s="9" t="str">
        <f>IF(B56="", "",PTHPs!R17)</f>
        <v/>
      </c>
      <c r="AZ56" s="204" t="str">
        <f>IF(B56="", "",PTHPs!S17)</f>
        <v/>
      </c>
      <c r="BC56" s="10" t="str">
        <f>IF(B56="", "",PTHPs!Q17)</f>
        <v/>
      </c>
      <c r="BM56" s="205"/>
      <c r="BN56" s="205"/>
      <c r="BO56" s="205"/>
      <c r="BP56" s="204" t="str">
        <f>IF(B56="", "",PTHPs!$C$23)</f>
        <v/>
      </c>
      <c r="BQ56" s="205" t="str">
        <f>IF(B56="", "",PTHPs!AV17)</f>
        <v/>
      </c>
      <c r="BR56" s="205" t="str">
        <f>IF(B56="", "",PTHPs!AV17)</f>
        <v/>
      </c>
      <c r="BS56" s="205" t="str">
        <f>IF(B56="", "",PTHPs!AW17)</f>
        <v/>
      </c>
      <c r="BT56" s="44" t="str">
        <f>IF(B56="", "",PTHPs!AX17)</f>
        <v/>
      </c>
      <c r="BU56" s="44" t="str">
        <f>IF(B56="", "",PTHPs!AY17)</f>
        <v/>
      </c>
      <c r="BV56" s="10" t="str">
        <f>IF(B56="", "",PTHPs!BA17)</f>
        <v/>
      </c>
    </row>
    <row r="57" spans="1:74" ht="15.75" thickBot="1">
      <c r="A57" s="256" t="str">
        <f>IF(B57="", "", 56)</f>
        <v/>
      </c>
      <c r="B57" s="46" t="str">
        <f>IF(OR(PTHPs!D18="", PTHPs!N18="", PTHPs!BB18="No"), "", PTHPs!BC18)</f>
        <v/>
      </c>
      <c r="C57" s="256" t="str">
        <f>IF(B57="", "", 'Project Summary'!$C$7)</f>
        <v/>
      </c>
      <c r="D57" s="256" t="str">
        <f>IF(B57="", "", CONCATENATE('Project Summary'!$C$4, " - ", 'Project Summary'!$C$7))</f>
        <v/>
      </c>
      <c r="E57" s="47" t="str">
        <f t="shared" si="8"/>
        <v/>
      </c>
      <c r="F57" s="256" t="str">
        <f>IF(B57="", "", 'Project Summary'!$C$8)</f>
        <v/>
      </c>
      <c r="G57" s="256" t="str">
        <f>IF(B57="", "",PTHPs!BE18)</f>
        <v/>
      </c>
      <c r="H57" s="256" t="str">
        <f t="shared" si="9"/>
        <v/>
      </c>
      <c r="I57" s="48" t="str">
        <f>IF(B57="", "", 'Lookup Tables'!$C$2)</f>
        <v/>
      </c>
      <c r="J57" s="256" t="str">
        <f>IF(B57="", "",PTHPs!D18)</f>
        <v/>
      </c>
      <c r="K57" s="256"/>
      <c r="L57" s="206" t="str">
        <f>IF(B57="", "",PTHPs!BD18)</f>
        <v/>
      </c>
      <c r="M57" s="206" t="str">
        <f>IF(B57="", "",PTHPs!C18)</f>
        <v/>
      </c>
      <c r="N57" s="256" t="str">
        <f>IF(B57="", "",PTHPs!C18)</f>
        <v/>
      </c>
      <c r="O57" s="256" t="str">
        <f>IF(B57="", "",PTHPs!E18)</f>
        <v/>
      </c>
      <c r="P57" s="256" t="str">
        <f>IF(B57="", "",PTHPs!K18)</f>
        <v/>
      </c>
      <c r="Q57" s="256" t="str">
        <f>IF(B57="", "",PTHPs!L18)</f>
        <v/>
      </c>
      <c r="R57" s="256" t="str">
        <f>IF(B57="", "",PTHPs!N18)</f>
        <v/>
      </c>
      <c r="S57" s="256" t="str">
        <f>IF(B57="", "",PTHPs!O18)</f>
        <v/>
      </c>
      <c r="T57" s="256" t="str">
        <f>IF(B57="", "",PTHPs!U18)</f>
        <v/>
      </c>
      <c r="U57" s="256"/>
      <c r="V57" s="256"/>
      <c r="W57" s="256"/>
      <c r="X57" s="256"/>
      <c r="Y57" s="212" t="str">
        <f>IF(B57="", "",PTHPs!H18)</f>
        <v/>
      </c>
      <c r="Z57" s="50"/>
      <c r="AA57" s="50" t="str">
        <f>IF(B57="", "",PTHPs!Z18)</f>
        <v/>
      </c>
      <c r="AB57" s="50"/>
      <c r="AC57" s="50"/>
      <c r="AD57" s="50" t="str">
        <f>IF(B57="", "",PTHPs!AC18)</f>
        <v/>
      </c>
      <c r="AE57" s="50"/>
      <c r="AF57" s="50"/>
      <c r="AG57" s="50" t="str">
        <f>IF(B57="", "", PTHPs!#REF!)</f>
        <v/>
      </c>
      <c r="AH57" s="50"/>
      <c r="AI57" s="50"/>
      <c r="AJ57" s="50"/>
      <c r="AK57" s="50"/>
      <c r="AL57" s="50"/>
      <c r="AM57" s="50"/>
      <c r="AN57" s="50"/>
      <c r="AO57" s="203"/>
      <c r="AP57" s="203" t="str">
        <f>IF(B57="", "",PTHPs!#REF!)</f>
        <v/>
      </c>
      <c r="AQ57" s="203"/>
      <c r="AR57" s="50"/>
      <c r="AS57" s="50"/>
      <c r="AT57" s="50" t="str">
        <f>IF(B57="", "",PTHPs!AK18)</f>
        <v/>
      </c>
      <c r="AU57" s="50"/>
      <c r="AV57" s="50" t="str">
        <f>IF(B57="", "",PTHPs!AN18)</f>
        <v/>
      </c>
      <c r="AW57" s="50"/>
      <c r="AX57" s="50" t="str">
        <f>IF(B57="", "",PTHPs!#REF!)</f>
        <v/>
      </c>
      <c r="AY57" s="256" t="str">
        <f>IF(B57="", "",PTHPs!R18)</f>
        <v/>
      </c>
      <c r="AZ57" s="206" t="str">
        <f>IF(B57="", "",PTHPs!S18)</f>
        <v/>
      </c>
      <c r="BA57" s="256"/>
      <c r="BB57" s="48"/>
      <c r="BC57" s="48" t="str">
        <f>IF(B57="", "",PTHPs!Q18)</f>
        <v/>
      </c>
      <c r="BD57" s="51"/>
      <c r="BE57" s="51"/>
      <c r="BF57" s="51"/>
      <c r="BG57" s="49"/>
      <c r="BH57" s="206"/>
      <c r="BI57" s="206"/>
      <c r="BJ57" s="256"/>
      <c r="BK57" s="207"/>
      <c r="BL57" s="207"/>
      <c r="BM57" s="208"/>
      <c r="BN57" s="208"/>
      <c r="BO57" s="208"/>
      <c r="BP57" s="206" t="str">
        <f>IF(B57="", "",PTHPs!$C$23)</f>
        <v/>
      </c>
      <c r="BQ57" s="208" t="str">
        <f>IF(B57="", "",PTHPs!AV18)</f>
        <v/>
      </c>
      <c r="BR57" s="208" t="str">
        <f>IF(B57="", "",PTHPs!AV18)</f>
        <v/>
      </c>
      <c r="BS57" s="208" t="str">
        <f>IF(B57="", "",PTHPs!AW18)</f>
        <v/>
      </c>
      <c r="BT57" s="207" t="str">
        <f>IF(B57="", "",PTHPs!AX18)</f>
        <v/>
      </c>
      <c r="BU57" s="207" t="str">
        <f>IF(B57="", "",PTHPs!AY18)</f>
        <v/>
      </c>
      <c r="BV57" s="48" t="str">
        <f>IF(B57="", "",PTHPs!BA18)</f>
        <v/>
      </c>
    </row>
  </sheetData>
  <sheetProtection algorithmName="SHA-512" hashValue="LayO4k8jlrbfm+uvkrNvd0t0Q6DfpaTDD5oC2IP/sdJOaqLZF8uCYwoxzHBx7DdkfWQZ583ST+oULNrdyd3k/w==" saltValue="1s84MyxRClkLVHSDchzqTg==" spinCount="100000" sheet="1" selectLockedCells="1"/>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59887-7FDC-4A01-BFC6-6BCCA8FF9768}">
  <sheetPr codeName="Sheet14">
    <tabColor theme="7" tint="0.39997558519241921"/>
  </sheetPr>
  <dimension ref="A2:F25"/>
  <sheetViews>
    <sheetView workbookViewId="0">
      <selection activeCell="F11" sqref="F11"/>
    </sheetView>
  </sheetViews>
  <sheetFormatPr defaultColWidth="11.28515625" defaultRowHeight="15"/>
  <cols>
    <col min="1" max="1" width="4.85546875" style="304" customWidth="1"/>
    <col min="2" max="2" width="11.42578125" style="304" customWidth="1"/>
    <col min="3" max="3" width="13.42578125" style="304" customWidth="1"/>
    <col min="4" max="4" width="25" style="304" customWidth="1"/>
    <col min="5" max="5" width="68.85546875" style="310" customWidth="1"/>
    <col min="6" max="6" width="34.85546875" style="304" customWidth="1"/>
    <col min="7" max="16384" width="11.28515625" style="11"/>
  </cols>
  <sheetData>
    <row r="2" spans="1:6" ht="20.25">
      <c r="B2" s="838" t="s">
        <v>1011</v>
      </c>
      <c r="C2" s="838"/>
      <c r="D2" s="838"/>
      <c r="E2" s="838"/>
      <c r="F2" s="838"/>
    </row>
    <row r="4" spans="1:6">
      <c r="B4" s="305" t="s">
        <v>1012</v>
      </c>
      <c r="D4" s="306" t="s">
        <v>1013</v>
      </c>
      <c r="E4" s="307" t="s">
        <v>1014</v>
      </c>
      <c r="F4" s="306"/>
    </row>
    <row r="5" spans="1:6">
      <c r="B5" s="305" t="s">
        <v>1015</v>
      </c>
      <c r="D5" s="308" t="s">
        <v>1013</v>
      </c>
      <c r="E5" s="309" t="s">
        <v>1016</v>
      </c>
      <c r="F5" s="308"/>
    </row>
    <row r="6" spans="1:6" ht="25.5" customHeight="1"/>
    <row r="7" spans="1:6" s="316" customFormat="1">
      <c r="A7" s="311"/>
      <c r="B7" s="312" t="s">
        <v>1017</v>
      </c>
      <c r="C7" s="313" t="s">
        <v>1018</v>
      </c>
      <c r="D7" s="313" t="s">
        <v>1019</v>
      </c>
      <c r="E7" s="314" t="s">
        <v>1020</v>
      </c>
      <c r="F7" s="315" t="s">
        <v>1021</v>
      </c>
    </row>
    <row r="8" spans="1:6" ht="80.25" customHeight="1">
      <c r="B8" s="317">
        <v>3.86</v>
      </c>
      <c r="C8" s="318">
        <v>44020</v>
      </c>
      <c r="D8" s="318" t="s">
        <v>1022</v>
      </c>
      <c r="E8" s="319" t="s">
        <v>1023</v>
      </c>
      <c r="F8" s="320" t="s">
        <v>1024</v>
      </c>
    </row>
    <row r="9" spans="1:6" ht="60.75">
      <c r="B9" s="317">
        <v>5</v>
      </c>
      <c r="C9" s="318">
        <v>44708</v>
      </c>
      <c r="D9" s="321" t="s">
        <v>1025</v>
      </c>
      <c r="E9" s="319" t="s">
        <v>1026</v>
      </c>
      <c r="F9" s="552" t="s">
        <v>1027</v>
      </c>
    </row>
    <row r="10" spans="1:6" ht="28.5" customHeight="1">
      <c r="B10" s="317" t="s">
        <v>1033</v>
      </c>
      <c r="C10" s="318">
        <v>45457</v>
      </c>
      <c r="D10" s="321" t="s">
        <v>1034</v>
      </c>
      <c r="E10" s="319" t="s">
        <v>1032</v>
      </c>
      <c r="F10" s="320" t="s">
        <v>1035</v>
      </c>
    </row>
    <row r="11" spans="1:6" ht="28.5" customHeight="1">
      <c r="B11" s="317"/>
      <c r="C11" s="318"/>
      <c r="D11" s="321"/>
      <c r="E11" s="319"/>
      <c r="F11" s="320"/>
    </row>
    <row r="12" spans="1:6" ht="28.5" customHeight="1">
      <c r="B12" s="317"/>
      <c r="C12" s="318"/>
      <c r="D12" s="321"/>
      <c r="E12" s="319"/>
      <c r="F12" s="320"/>
    </row>
    <row r="13" spans="1:6" ht="28.5" customHeight="1">
      <c r="B13" s="317"/>
      <c r="C13" s="318"/>
      <c r="D13" s="321"/>
      <c r="E13" s="319"/>
      <c r="F13" s="320"/>
    </row>
    <row r="14" spans="1:6" ht="28.5" customHeight="1">
      <c r="B14" s="317"/>
      <c r="C14" s="318"/>
      <c r="D14" s="321"/>
      <c r="E14" s="319"/>
      <c r="F14" s="320"/>
    </row>
    <row r="15" spans="1:6" ht="28.5" customHeight="1">
      <c r="B15" s="317"/>
      <c r="C15" s="318"/>
      <c r="D15" s="321"/>
      <c r="E15" s="319"/>
      <c r="F15" s="320"/>
    </row>
    <row r="16" spans="1:6" ht="28.5" customHeight="1">
      <c r="B16" s="317"/>
      <c r="C16" s="318"/>
      <c r="D16" s="321"/>
      <c r="E16" s="319"/>
      <c r="F16" s="320"/>
    </row>
    <row r="17" spans="2:6" ht="28.5" customHeight="1">
      <c r="B17" s="317"/>
      <c r="C17" s="318"/>
      <c r="D17" s="321"/>
      <c r="E17" s="319"/>
      <c r="F17" s="320"/>
    </row>
    <row r="18" spans="2:6" ht="28.5" customHeight="1">
      <c r="B18" s="317"/>
      <c r="C18" s="318"/>
      <c r="D18" s="321"/>
      <c r="E18" s="319"/>
      <c r="F18" s="320"/>
    </row>
    <row r="19" spans="2:6" ht="28.5" customHeight="1">
      <c r="B19" s="317"/>
      <c r="C19" s="318"/>
      <c r="D19" s="321"/>
      <c r="E19" s="319"/>
      <c r="F19" s="320"/>
    </row>
    <row r="20" spans="2:6" ht="28.5" customHeight="1">
      <c r="B20" s="317"/>
      <c r="C20" s="318"/>
      <c r="D20" s="321"/>
      <c r="E20" s="319"/>
      <c r="F20" s="320"/>
    </row>
    <row r="21" spans="2:6" ht="28.5" customHeight="1">
      <c r="B21" s="317"/>
      <c r="C21" s="318"/>
      <c r="D21" s="321"/>
      <c r="E21" s="319"/>
      <c r="F21" s="320"/>
    </row>
    <row r="22" spans="2:6" ht="28.5" customHeight="1">
      <c r="B22" s="317"/>
      <c r="C22" s="318"/>
      <c r="D22" s="321"/>
      <c r="E22" s="319"/>
      <c r="F22" s="320"/>
    </row>
    <row r="23" spans="2:6" ht="28.5" customHeight="1">
      <c r="B23" s="317"/>
      <c r="C23" s="321"/>
      <c r="D23" s="321"/>
      <c r="E23" s="319"/>
      <c r="F23" s="320"/>
    </row>
    <row r="24" spans="2:6" ht="28.5" customHeight="1">
      <c r="B24" s="322"/>
      <c r="C24" s="323"/>
      <c r="D24" s="323"/>
      <c r="E24" s="324"/>
      <c r="F24" s="325"/>
    </row>
    <row r="25" spans="2:6">
      <c r="B25" s="326"/>
      <c r="C25" s="326"/>
      <c r="D25" s="326"/>
      <c r="E25" s="327"/>
      <c r="F25" s="326"/>
    </row>
  </sheetData>
  <sheetProtection algorithmName="SHA-512" hashValue="qewquDEigjgh2wGOWkfefRqJwdbueTgTL1q4TcUsldQPawEzydMn0Ub6/M85qaH4j9jbkX09OVcyzuJKzh9DuA==" saltValue="LFekRqjC0nkIdDcmNNQ+VQ==" spinCount="100000" sheet="1" objects="1" scenarios="1"/>
  <mergeCells count="1">
    <mergeCell ref="B2:F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theme="1" tint="4.9989318521683403E-2"/>
  </sheetPr>
  <dimension ref="A1:BN959"/>
  <sheetViews>
    <sheetView workbookViewId="0"/>
  </sheetViews>
  <sheetFormatPr defaultColWidth="9.5703125" defaultRowHeight="15"/>
  <cols>
    <col min="1" max="1" width="3.28515625" customWidth="1"/>
    <col min="2" max="2" width="34.7109375" customWidth="1"/>
    <col min="3" max="3" width="9.28515625" customWidth="1"/>
    <col min="4" max="4" width="17.140625" customWidth="1"/>
    <col min="5" max="5" width="15.140625" customWidth="1"/>
    <col min="6" max="6" width="14.28515625" customWidth="1"/>
    <col min="7" max="7" width="4.28515625" customWidth="1"/>
    <col min="8" max="12" width="9.28515625" style="11" customWidth="1"/>
    <col min="13" max="66" width="9.140625" style="11" customWidth="1"/>
    <col min="67" max="241" width="9.140625" customWidth="1"/>
    <col min="242" max="242" width="4" customWidth="1"/>
    <col min="243" max="243" width="3.28515625" customWidth="1"/>
    <col min="244" max="244" width="40.5703125" customWidth="1"/>
  </cols>
  <sheetData>
    <row r="1" spans="1:7" ht="22.5" customHeight="1">
      <c r="A1" s="11"/>
      <c r="B1" s="11"/>
      <c r="C1" s="11"/>
      <c r="D1" s="11"/>
      <c r="E1" s="11"/>
      <c r="F1" s="11"/>
      <c r="G1" s="11"/>
    </row>
    <row r="2" spans="1:7" ht="54.75" customHeight="1" thickBot="1">
      <c r="A2" s="11"/>
      <c r="B2" s="11"/>
      <c r="C2" s="11"/>
      <c r="D2" s="11"/>
      <c r="E2" s="11"/>
      <c r="F2" s="11"/>
      <c r="G2" s="11"/>
    </row>
    <row r="3" spans="1:7" ht="41.25" customHeight="1">
      <c r="A3" s="11"/>
      <c r="B3" s="681" t="s">
        <v>32</v>
      </c>
      <c r="C3" s="682"/>
      <c r="D3" s="682"/>
      <c r="E3" s="682"/>
      <c r="F3" s="683"/>
      <c r="G3" s="11"/>
    </row>
    <row r="4" spans="1:7" ht="16.5" customHeight="1">
      <c r="A4" s="11"/>
      <c r="B4" s="453" t="s">
        <v>33</v>
      </c>
      <c r="C4" s="687"/>
      <c r="D4" s="688"/>
      <c r="E4" s="688"/>
      <c r="F4" s="689"/>
      <c r="G4" s="11"/>
    </row>
    <row r="5" spans="1:7" ht="16.5" customHeight="1">
      <c r="A5" s="11"/>
      <c r="B5" s="453" t="s">
        <v>34</v>
      </c>
      <c r="C5" s="687"/>
      <c r="D5" s="688"/>
      <c r="E5" s="688"/>
      <c r="F5" s="689"/>
      <c r="G5" s="11"/>
    </row>
    <row r="6" spans="1:7" ht="16.5" customHeight="1">
      <c r="A6" s="11"/>
      <c r="B6" s="453" t="s">
        <v>35</v>
      </c>
      <c r="C6" s="687"/>
      <c r="D6" s="688"/>
      <c r="E6" s="688"/>
      <c r="F6" s="689"/>
      <c r="G6" s="11"/>
    </row>
    <row r="7" spans="1:7" ht="16.5" customHeight="1">
      <c r="A7" s="11"/>
      <c r="B7" s="453" t="s">
        <v>36</v>
      </c>
      <c r="C7" s="687"/>
      <c r="D7" s="688"/>
      <c r="E7" s="688"/>
      <c r="F7" s="689"/>
      <c r="G7" s="11"/>
    </row>
    <row r="8" spans="1:7" ht="16.5" customHeight="1">
      <c r="A8" s="11"/>
      <c r="B8" s="295" t="s">
        <v>37</v>
      </c>
      <c r="C8" s="687"/>
      <c r="D8" s="688"/>
      <c r="E8" s="688"/>
      <c r="F8" s="689"/>
      <c r="G8" s="11"/>
    </row>
    <row r="9" spans="1:7" ht="18.75" customHeight="1">
      <c r="A9" s="11"/>
      <c r="B9" s="291"/>
      <c r="C9" s="293"/>
      <c r="D9" s="293"/>
      <c r="E9" s="293"/>
      <c r="F9" s="294"/>
      <c r="G9" s="11"/>
    </row>
    <row r="10" spans="1:7" ht="16.5" customHeight="1">
      <c r="A10" s="11"/>
      <c r="B10" s="693" t="s">
        <v>38</v>
      </c>
      <c r="C10" s="694"/>
      <c r="D10" s="296">
        <f>SUM(E15:E20)</f>
        <v>0</v>
      </c>
      <c r="E10" s="293"/>
      <c r="F10" s="294"/>
      <c r="G10" s="11"/>
    </row>
    <row r="11" spans="1:7" ht="16.5" customHeight="1">
      <c r="A11" s="11"/>
      <c r="B11" s="693" t="s">
        <v>39</v>
      </c>
      <c r="C11" s="695"/>
      <c r="D11" s="296">
        <f>SUM(D15:D20)</f>
        <v>0</v>
      </c>
      <c r="E11" s="293"/>
      <c r="F11" s="294"/>
      <c r="G11" s="11"/>
    </row>
    <row r="12" spans="1:7" ht="16.5" customHeight="1">
      <c r="A12" s="11"/>
      <c r="B12" s="693" t="s">
        <v>40</v>
      </c>
      <c r="C12" s="695"/>
      <c r="D12" s="297">
        <f>SUM(F15:F20)</f>
        <v>0</v>
      </c>
      <c r="E12" s="293"/>
      <c r="F12" s="294"/>
      <c r="G12" s="11"/>
    </row>
    <row r="13" spans="1:7" ht="12.75" customHeight="1">
      <c r="A13" s="11"/>
      <c r="B13" s="291"/>
      <c r="C13" s="293"/>
      <c r="D13" s="293"/>
      <c r="E13" s="293"/>
      <c r="F13" s="294"/>
      <c r="G13" s="11"/>
    </row>
    <row r="14" spans="1:7" ht="42.75" customHeight="1">
      <c r="A14" s="11"/>
      <c r="B14" s="262" t="s">
        <v>41</v>
      </c>
      <c r="C14" s="263" t="s">
        <v>42</v>
      </c>
      <c r="D14" s="264" t="s">
        <v>43</v>
      </c>
      <c r="E14" s="264" t="s">
        <v>44</v>
      </c>
      <c r="F14" s="265" t="s">
        <v>45</v>
      </c>
      <c r="G14" s="11"/>
    </row>
    <row r="15" spans="1:7" ht="18" customHeight="1">
      <c r="A15" s="11"/>
      <c r="B15" s="280" t="s">
        <v>46</v>
      </c>
      <c r="C15" s="279">
        <f>IFERROR(SUM('Data Export'!$T$10:$T$17), 0)</f>
        <v>0</v>
      </c>
      <c r="D15" s="276">
        <f>IFERROR(SUM('Data Export'!$BR$10:$BR$17), 0)</f>
        <v>0</v>
      </c>
      <c r="E15" s="277">
        <f>IFERROR(SUM('Data Export'!$BU$10:$BU$17), 0)</f>
        <v>0</v>
      </c>
      <c r="F15" s="278">
        <f>IFERROR(SUM('Data Export'!$BV$10:$BV$17), 0)</f>
        <v>0</v>
      </c>
      <c r="G15" s="11"/>
    </row>
    <row r="16" spans="1:7" ht="18" customHeight="1">
      <c r="A16" s="11"/>
      <c r="B16" s="280" t="s">
        <v>17</v>
      </c>
      <c r="C16" s="279">
        <f>IFERROR(SUM('Data Export'!$T$18:$T$25), 0)</f>
        <v>0</v>
      </c>
      <c r="D16" s="276">
        <f>IFERROR(SUM('Data Export'!$BR$18:$BR$25), 0)</f>
        <v>0</v>
      </c>
      <c r="E16" s="277">
        <f>IFERROR(SUM('Data Export'!$BU$18:$BU$25), 0)</f>
        <v>0</v>
      </c>
      <c r="F16" s="278">
        <f>IFERROR(SUM('Data Export'!$BV$18:$BV$25), 0)</f>
        <v>0</v>
      </c>
      <c r="G16" s="11"/>
    </row>
    <row r="17" spans="1:7" ht="18" customHeight="1">
      <c r="A17" s="11"/>
      <c r="B17" s="280" t="s">
        <v>19</v>
      </c>
      <c r="C17" s="279">
        <f>IFERROR(SUM('Data Export'!$T$26:$T$33), 0)</f>
        <v>0</v>
      </c>
      <c r="D17" s="276">
        <f>IFERROR(SUM('Data Export'!$BR$26:$BR$33), 0)</f>
        <v>0</v>
      </c>
      <c r="E17" s="277">
        <f>IFERROR(SUM('Data Export'!$BU$26:$BU$33), 0)</f>
        <v>0</v>
      </c>
      <c r="F17" s="278">
        <f>IFERROR(SUM('Data Export'!$BV$26:$BV$33), 0)</f>
        <v>0</v>
      </c>
      <c r="G17" s="11"/>
    </row>
    <row r="18" spans="1:7" ht="18" customHeight="1">
      <c r="A18" s="11"/>
      <c r="B18" s="280" t="s">
        <v>21</v>
      </c>
      <c r="C18" s="279">
        <f>IFERROR(SUM('Data Export'!$T$34:$T$41), 0)</f>
        <v>0</v>
      </c>
      <c r="D18" s="276">
        <f>IFERROR(SUM('Data Export'!$BR$34:$BR$41), 0)</f>
        <v>0</v>
      </c>
      <c r="E18" s="277">
        <f>IFERROR(SUM('Data Export'!$BU$34:$BU$41), 0)</f>
        <v>0</v>
      </c>
      <c r="F18" s="278">
        <f>IFERROR(SUM('Data Export'!$BV$34:$BV$41), 0)</f>
        <v>0</v>
      </c>
      <c r="G18" s="11"/>
    </row>
    <row r="19" spans="1:7" ht="18" customHeight="1">
      <c r="A19" s="11"/>
      <c r="B19" s="280" t="s">
        <v>47</v>
      </c>
      <c r="C19" s="279">
        <f>IFERROR(SUM('Data Export'!$T$42:$T$49), 0)</f>
        <v>0</v>
      </c>
      <c r="D19" s="276">
        <f>IFERROR(SUM('Data Export'!$BR$42:$BR$49), 0)</f>
        <v>0</v>
      </c>
      <c r="E19" s="277">
        <f>IFERROR(SUM('Data Export'!$BU$42:$BU$49), 0)</f>
        <v>0</v>
      </c>
      <c r="F19" s="278">
        <f>IFERROR(SUM('Data Export'!$BV$42:$BV$49), 0)</f>
        <v>0</v>
      </c>
      <c r="G19" s="11"/>
    </row>
    <row r="20" spans="1:7" ht="18" customHeight="1">
      <c r="A20" s="11"/>
      <c r="B20" s="292" t="s">
        <v>48</v>
      </c>
      <c r="C20" s="279">
        <f>IFERROR(SUM('Data Export'!$T$50:$T$57), 0)</f>
        <v>0</v>
      </c>
      <c r="D20" s="276">
        <f>IFERROR(SUM('Data Export'!$BR$50:$BR$57), 0)</f>
        <v>0</v>
      </c>
      <c r="E20" s="277">
        <f>IFERROR(SUM('Data Export'!$BU$50:$BU$57), 0)</f>
        <v>0</v>
      </c>
      <c r="F20" s="278">
        <f>IFERROR(SUM('Data Export'!$BV$50:$BV$57), 0)</f>
        <v>0</v>
      </c>
      <c r="G20" s="11"/>
    </row>
    <row r="21" spans="1:7" ht="18" customHeight="1">
      <c r="A21" s="11"/>
      <c r="B21" s="292" t="s">
        <v>49</v>
      </c>
      <c r="C21" s="279">
        <f>'Window Air Conditioners'!M17</f>
        <v>0</v>
      </c>
      <c r="D21" s="276">
        <f>'Window Air Conditioners'!AC17</f>
        <v>0</v>
      </c>
      <c r="E21" s="277">
        <f>'Window Air Conditioners'!AD17</f>
        <v>0</v>
      </c>
      <c r="F21" s="278">
        <f>'Window Air Conditioners'!AF17</f>
        <v>0</v>
      </c>
      <c r="G21" s="11"/>
    </row>
    <row r="22" spans="1:7" ht="18" customHeight="1">
      <c r="A22" s="11"/>
      <c r="B22" s="292" t="s">
        <v>27</v>
      </c>
      <c r="C22" s="279">
        <f>'Commercial Smart Thermostat'!D18</f>
        <v>0</v>
      </c>
      <c r="D22" s="276">
        <f>'Commercial Smart Thermostat'!AS18</f>
        <v>0</v>
      </c>
      <c r="E22" s="277">
        <f>'Commercial Smart Thermostat'!AV18</f>
        <v>0</v>
      </c>
      <c r="F22" s="278">
        <f>'Commercial Smart Thermostat'!AX18</f>
        <v>0</v>
      </c>
      <c r="G22" s="11"/>
    </row>
    <row r="23" spans="1:7" ht="18" customHeight="1">
      <c r="A23" s="11"/>
      <c r="B23" s="684"/>
      <c r="C23" s="685"/>
      <c r="D23" s="685"/>
      <c r="E23" s="685"/>
      <c r="F23" s="686"/>
      <c r="G23" s="11"/>
    </row>
    <row r="24" spans="1:7" ht="18" customHeight="1">
      <c r="A24" s="11"/>
      <c r="B24" s="257"/>
      <c r="C24" s="258"/>
      <c r="D24" s="258"/>
      <c r="E24" s="258"/>
      <c r="F24" s="259"/>
      <c r="G24" s="11"/>
    </row>
    <row r="25" spans="1:7" ht="2.25" customHeight="1">
      <c r="A25" s="11"/>
      <c r="B25" s="260"/>
      <c r="C25" s="150"/>
      <c r="D25" s="150"/>
      <c r="E25" s="150"/>
      <c r="F25" s="261"/>
      <c r="G25" s="11"/>
    </row>
    <row r="26" spans="1:7" ht="19.5" customHeight="1" thickBot="1">
      <c r="A26" s="11"/>
      <c r="B26" s="690" t="s">
        <v>50</v>
      </c>
      <c r="C26" s="691"/>
      <c r="D26" s="691"/>
      <c r="E26" s="691"/>
      <c r="F26" s="692"/>
      <c r="G26" s="11"/>
    </row>
    <row r="27" spans="1:7" ht="19.5" customHeight="1">
      <c r="A27" s="11"/>
      <c r="B27" s="11"/>
      <c r="C27" s="11"/>
      <c r="D27" s="11"/>
      <c r="E27" s="11"/>
      <c r="F27" s="11"/>
      <c r="G27" s="11"/>
    </row>
    <row r="28" spans="1:7" ht="22.5" customHeight="1">
      <c r="A28" s="11"/>
      <c r="B28" s="11"/>
      <c r="C28" s="11"/>
      <c r="D28" s="11"/>
      <c r="E28" s="11"/>
      <c r="F28" s="11"/>
      <c r="G28" s="11"/>
    </row>
    <row r="29" spans="1:7" s="11" customFormat="1"/>
    <row r="30" spans="1:7" s="11" customFormat="1"/>
    <row r="31" spans="1:7" s="11" customFormat="1"/>
    <row r="32" spans="1:7" s="11" customFormat="1"/>
    <row r="33" spans="1:11" s="11" customFormat="1">
      <c r="B33"/>
      <c r="C33"/>
      <c r="D33"/>
      <c r="E33"/>
      <c r="F33"/>
    </row>
    <row r="34" spans="1:11" hidden="1">
      <c r="A34" s="2"/>
      <c r="J34" s="23" t="s">
        <v>51</v>
      </c>
      <c r="K34" s="33"/>
    </row>
    <row r="35" spans="1:11" hidden="1">
      <c r="A35" s="2"/>
      <c r="K35" s="33"/>
    </row>
    <row r="36" spans="1:11" hidden="1">
      <c r="A36" s="2"/>
      <c r="K36" s="33"/>
    </row>
    <row r="37" spans="1:11" hidden="1">
      <c r="A37" s="2"/>
      <c r="K37" s="33"/>
    </row>
    <row r="38" spans="1:11" hidden="1">
      <c r="A38" s="2"/>
      <c r="K38" s="33"/>
    </row>
    <row r="39" spans="1:11" hidden="1">
      <c r="A39" s="2"/>
      <c r="K39" s="33"/>
    </row>
    <row r="40" spans="1:11" hidden="1">
      <c r="A40" s="2"/>
      <c r="K40" s="33"/>
    </row>
    <row r="41" spans="1:11" hidden="1">
      <c r="A41" s="2"/>
      <c r="K41" s="33"/>
    </row>
    <row r="42" spans="1:11" hidden="1">
      <c r="A42" s="2"/>
      <c r="K42" s="33"/>
    </row>
    <row r="43" spans="1:11" hidden="1">
      <c r="A43" s="2"/>
      <c r="K43" s="33"/>
    </row>
    <row r="44" spans="1:11" hidden="1">
      <c r="A44" s="2"/>
      <c r="J44" s="23" t="s">
        <v>15</v>
      </c>
      <c r="K44" s="33"/>
    </row>
    <row r="45" spans="1:11" hidden="1">
      <c r="A45" s="2"/>
      <c r="K45" s="33"/>
    </row>
    <row r="46" spans="1:11" hidden="1">
      <c r="A46" s="2"/>
      <c r="K46" s="33"/>
    </row>
    <row r="47" spans="1:11" hidden="1">
      <c r="A47" s="2"/>
      <c r="K47" s="33"/>
    </row>
    <row r="48" spans="1:11" hidden="1">
      <c r="A48" s="2"/>
      <c r="K48" s="33"/>
    </row>
    <row r="49" spans="1:11" hidden="1">
      <c r="A49" s="2"/>
      <c r="K49" s="33"/>
    </row>
    <row r="50" spans="1:11" hidden="1">
      <c r="A50" s="2"/>
      <c r="K50" s="33"/>
    </row>
    <row r="51" spans="1:11" hidden="1">
      <c r="A51" s="2"/>
      <c r="K51" s="33"/>
    </row>
    <row r="52" spans="1:11" hidden="1">
      <c r="A52" s="2"/>
      <c r="K52" s="33"/>
    </row>
    <row r="53" spans="1:11" hidden="1">
      <c r="A53" s="2"/>
      <c r="K53" s="33"/>
    </row>
    <row r="54" spans="1:11" hidden="1">
      <c r="A54" s="2"/>
      <c r="J54" s="23" t="s">
        <v>52</v>
      </c>
      <c r="K54" s="33"/>
    </row>
    <row r="55" spans="1:11" hidden="1">
      <c r="A55" s="2"/>
      <c r="K55" s="33"/>
    </row>
    <row r="56" spans="1:11" hidden="1">
      <c r="A56" s="2"/>
      <c r="K56" s="33"/>
    </row>
    <row r="57" spans="1:11" hidden="1">
      <c r="A57" s="2"/>
      <c r="K57" s="33"/>
    </row>
    <row r="58" spans="1:11" hidden="1">
      <c r="A58" s="2"/>
      <c r="K58" s="33"/>
    </row>
    <row r="59" spans="1:11" hidden="1">
      <c r="A59" s="2"/>
      <c r="K59" s="33"/>
    </row>
    <row r="60" spans="1:11" hidden="1">
      <c r="A60" s="2"/>
      <c r="K60" s="33"/>
    </row>
    <row r="61" spans="1:11" hidden="1">
      <c r="A61" s="2"/>
      <c r="K61" s="33"/>
    </row>
    <row r="62" spans="1:11" hidden="1">
      <c r="A62" s="2"/>
      <c r="K62" s="33"/>
    </row>
    <row r="63" spans="1:11" hidden="1">
      <c r="A63" s="2"/>
      <c r="K63" s="33"/>
    </row>
    <row r="64" spans="1:11" hidden="1">
      <c r="A64" s="2"/>
      <c r="J64" s="23" t="s">
        <v>53</v>
      </c>
      <c r="K64" s="33"/>
    </row>
    <row r="65" spans="1:11" hidden="1">
      <c r="A65" s="2"/>
      <c r="K65" s="33"/>
    </row>
    <row r="66" spans="1:11" hidden="1">
      <c r="A66" s="2"/>
      <c r="K66" s="33"/>
    </row>
    <row r="67" spans="1:11" hidden="1">
      <c r="A67" s="2"/>
      <c r="K67" s="33"/>
    </row>
    <row r="68" spans="1:11" hidden="1">
      <c r="A68" s="2"/>
      <c r="K68" s="33"/>
    </row>
    <row r="69" spans="1:11" hidden="1">
      <c r="A69" s="2"/>
      <c r="K69" s="33"/>
    </row>
    <row r="70" spans="1:11" hidden="1">
      <c r="A70" s="2"/>
      <c r="K70" s="33"/>
    </row>
    <row r="71" spans="1:11" hidden="1">
      <c r="A71" s="2"/>
      <c r="K71" s="33"/>
    </row>
    <row r="72" spans="1:11" hidden="1">
      <c r="A72" s="2"/>
      <c r="K72" s="33"/>
    </row>
    <row r="73" spans="1:11" hidden="1">
      <c r="A73" s="2"/>
      <c r="K73" s="33"/>
    </row>
    <row r="74" spans="1:11" hidden="1">
      <c r="A74" s="2"/>
      <c r="J74" s="23" t="s">
        <v>54</v>
      </c>
      <c r="K74" s="33"/>
    </row>
    <row r="75" spans="1:11" hidden="1">
      <c r="A75" s="2"/>
      <c r="K75" s="33"/>
    </row>
    <row r="76" spans="1:11" hidden="1">
      <c r="A76" s="2"/>
      <c r="K76" s="33"/>
    </row>
    <row r="77" spans="1:11" hidden="1">
      <c r="A77" s="2"/>
      <c r="K77" s="33"/>
    </row>
    <row r="78" spans="1:11" hidden="1">
      <c r="A78" s="2"/>
      <c r="K78" s="33"/>
    </row>
    <row r="79" spans="1:11" hidden="1">
      <c r="A79" s="2"/>
      <c r="K79" s="33"/>
    </row>
    <row r="80" spans="1:11" hidden="1">
      <c r="A80" s="2"/>
      <c r="K80" s="33"/>
    </row>
    <row r="81" spans="1:11" hidden="1">
      <c r="A81" s="2"/>
      <c r="K81" s="33"/>
    </row>
    <row r="82" spans="1:11" hidden="1">
      <c r="A82" s="2"/>
      <c r="K82" s="33"/>
    </row>
    <row r="83" spans="1:11" hidden="1">
      <c r="A83" s="2"/>
      <c r="K83" s="33"/>
    </row>
    <row r="84" spans="1:11" hidden="1">
      <c r="A84" s="2"/>
      <c r="J84" s="23" t="s">
        <v>55</v>
      </c>
      <c r="K84" s="33"/>
    </row>
    <row r="85" spans="1:11" hidden="1">
      <c r="A85" s="2"/>
      <c r="K85" s="33"/>
    </row>
    <row r="86" spans="1:11" hidden="1">
      <c r="A86" s="2"/>
      <c r="K86" s="33"/>
    </row>
    <row r="87" spans="1:11" hidden="1">
      <c r="A87" s="2"/>
      <c r="K87" s="33"/>
    </row>
    <row r="88" spans="1:11" hidden="1">
      <c r="A88" s="2"/>
      <c r="K88" s="33"/>
    </row>
    <row r="89" spans="1:11" hidden="1">
      <c r="A89" s="2"/>
      <c r="K89" s="33"/>
    </row>
    <row r="90" spans="1:11" hidden="1">
      <c r="A90" s="2"/>
      <c r="K90" s="33"/>
    </row>
    <row r="91" spans="1:11" hidden="1">
      <c r="A91" s="2"/>
      <c r="K91" s="33"/>
    </row>
    <row r="92" spans="1:11" hidden="1">
      <c r="A92" s="2"/>
      <c r="K92" s="33"/>
    </row>
    <row r="93" spans="1:11" hidden="1">
      <c r="A93" s="2"/>
      <c r="K93" s="33"/>
    </row>
    <row r="94" spans="1:11" hidden="1">
      <c r="A94" s="2"/>
      <c r="J94" s="23" t="s">
        <v>56</v>
      </c>
      <c r="K94" s="33"/>
    </row>
    <row r="95" spans="1:11" hidden="1">
      <c r="A95" s="2"/>
      <c r="K95" s="33"/>
    </row>
    <row r="96" spans="1:11" hidden="1">
      <c r="A96" s="2"/>
      <c r="K96" s="33"/>
    </row>
    <row r="97" spans="1:11" hidden="1">
      <c r="A97" s="2"/>
      <c r="K97" s="33"/>
    </row>
    <row r="98" spans="1:11" hidden="1">
      <c r="A98" s="2"/>
      <c r="K98" s="33"/>
    </row>
    <row r="99" spans="1:11" hidden="1">
      <c r="A99" s="2"/>
      <c r="K99" s="33"/>
    </row>
    <row r="100" spans="1:11" hidden="1">
      <c r="A100" s="2"/>
      <c r="K100" s="33"/>
    </row>
    <row r="101" spans="1:11" hidden="1">
      <c r="A101" s="2"/>
      <c r="K101" s="33"/>
    </row>
    <row r="102" spans="1:11" hidden="1">
      <c r="A102" s="2"/>
      <c r="K102" s="33"/>
    </row>
    <row r="103" spans="1:11" hidden="1">
      <c r="A103" s="2"/>
      <c r="K103" s="33"/>
    </row>
    <row r="104" spans="1:11" hidden="1">
      <c r="A104" s="2"/>
      <c r="J104" s="23" t="s">
        <v>57</v>
      </c>
      <c r="K104" s="33"/>
    </row>
    <row r="105" spans="1:11" hidden="1">
      <c r="A105" s="2"/>
      <c r="K105" s="33"/>
    </row>
    <row r="106" spans="1:11" hidden="1">
      <c r="A106" s="2"/>
    </row>
    <row r="107" spans="1:11" hidden="1">
      <c r="A107" s="2"/>
    </row>
    <row r="108" spans="1:11" hidden="1">
      <c r="A108" s="2"/>
    </row>
    <row r="109" spans="1:11" hidden="1">
      <c r="A109" s="2"/>
    </row>
    <row r="110" spans="1:11" hidden="1">
      <c r="A110" s="2"/>
    </row>
    <row r="111" spans="1:11" hidden="1">
      <c r="A111" s="2"/>
    </row>
    <row r="112" spans="1:11" hidden="1">
      <c r="A112" s="2"/>
    </row>
    <row r="113" spans="1:10" hidden="1">
      <c r="A113" s="2"/>
    </row>
    <row r="114" spans="1:10" hidden="1">
      <c r="A114" s="2"/>
    </row>
    <row r="115" spans="1:10" hidden="1">
      <c r="A115" s="2"/>
      <c r="J115" s="23" t="s">
        <v>58</v>
      </c>
    </row>
    <row r="116" spans="1:10" hidden="1">
      <c r="A116" s="2"/>
    </row>
    <row r="117" spans="1:10" hidden="1">
      <c r="A117" s="2"/>
    </row>
    <row r="118" spans="1:10" hidden="1">
      <c r="A118" s="2"/>
    </row>
    <row r="119" spans="1:10" hidden="1">
      <c r="A119" s="2"/>
    </row>
    <row r="120" spans="1:10" hidden="1">
      <c r="A120" s="2"/>
    </row>
    <row r="121" spans="1:10" hidden="1">
      <c r="A121" s="2"/>
    </row>
    <row r="122" spans="1:10" hidden="1">
      <c r="A122" s="2"/>
    </row>
    <row r="123" spans="1:10" hidden="1">
      <c r="A123" s="2"/>
    </row>
    <row r="124" spans="1:10" hidden="1">
      <c r="A124" s="2"/>
    </row>
    <row r="125" spans="1:10" hidden="1">
      <c r="A125" s="2"/>
    </row>
    <row r="126" spans="1:10" hidden="1">
      <c r="A126" s="2"/>
      <c r="J126" s="23" t="s">
        <v>59</v>
      </c>
    </row>
    <row r="127" spans="1:10" hidden="1">
      <c r="A127" s="2"/>
      <c r="J127" s="11">
        <v>1</v>
      </c>
    </row>
    <row r="128" spans="1:10" hidden="1">
      <c r="A128" s="2"/>
      <c r="J128" s="11">
        <v>2</v>
      </c>
    </row>
    <row r="129" spans="1:10" hidden="1">
      <c r="A129" s="2"/>
      <c r="J129" s="11">
        <v>3</v>
      </c>
    </row>
    <row r="130" spans="1:10" hidden="1">
      <c r="A130" s="2"/>
      <c r="J130" s="11">
        <v>4</v>
      </c>
    </row>
    <row r="131" spans="1:10" hidden="1">
      <c r="A131" s="2"/>
      <c r="J131" s="11">
        <v>5</v>
      </c>
    </row>
    <row r="132" spans="1:10" hidden="1">
      <c r="A132" s="2"/>
      <c r="J132" s="11">
        <v>6</v>
      </c>
    </row>
    <row r="133" spans="1:10" hidden="1">
      <c r="A133" s="2"/>
      <c r="J133" s="11">
        <v>7</v>
      </c>
    </row>
    <row r="134" spans="1:10" hidden="1">
      <c r="A134" s="2"/>
      <c r="J134" s="11">
        <v>8</v>
      </c>
    </row>
    <row r="135" spans="1:10" hidden="1">
      <c r="A135" s="2"/>
      <c r="J135" s="11">
        <v>9</v>
      </c>
    </row>
    <row r="136" spans="1:10" hidden="1">
      <c r="A136" s="2"/>
      <c r="J136" s="11">
        <v>10</v>
      </c>
    </row>
    <row r="137" spans="1:10" hidden="1">
      <c r="A137" s="2"/>
      <c r="J137" s="11">
        <v>11</v>
      </c>
    </row>
    <row r="138" spans="1:10" hidden="1">
      <c r="A138" s="2"/>
      <c r="J138" s="11">
        <v>12</v>
      </c>
    </row>
    <row r="139" spans="1:10" hidden="1">
      <c r="A139" s="2"/>
      <c r="J139" s="11">
        <v>13</v>
      </c>
    </row>
    <row r="140" spans="1:10" hidden="1">
      <c r="A140" s="2"/>
      <c r="J140" s="11">
        <v>14</v>
      </c>
    </row>
    <row r="141" spans="1:10" hidden="1">
      <c r="A141" s="2"/>
      <c r="J141" s="11">
        <v>15</v>
      </c>
    </row>
    <row r="142" spans="1:10" hidden="1">
      <c r="A142" s="2"/>
      <c r="J142" s="11">
        <v>16</v>
      </c>
    </row>
    <row r="143" spans="1:10" hidden="1">
      <c r="A143" s="2"/>
      <c r="J143" s="11">
        <v>17</v>
      </c>
    </row>
    <row r="144" spans="1:10" hidden="1">
      <c r="A144" s="2"/>
      <c r="J144" s="11">
        <v>18</v>
      </c>
    </row>
    <row r="145" spans="1:10" hidden="1">
      <c r="A145" s="2"/>
      <c r="J145" s="11">
        <v>19</v>
      </c>
    </row>
    <row r="146" spans="1:10" hidden="1">
      <c r="A146" s="2"/>
      <c r="J146" s="11">
        <v>20</v>
      </c>
    </row>
    <row r="147" spans="1:10" hidden="1">
      <c r="A147" s="2"/>
      <c r="J147" s="11">
        <v>21</v>
      </c>
    </row>
    <row r="148" spans="1:10" hidden="1">
      <c r="A148" s="2"/>
      <c r="J148" s="11">
        <v>22</v>
      </c>
    </row>
    <row r="149" spans="1:10" hidden="1">
      <c r="A149" s="2"/>
      <c r="J149" s="11">
        <v>23</v>
      </c>
    </row>
    <row r="150" spans="1:10" hidden="1">
      <c r="A150" s="2"/>
      <c r="J150" s="11">
        <v>24</v>
      </c>
    </row>
    <row r="151" spans="1:10" hidden="1">
      <c r="A151" s="2"/>
      <c r="J151" s="11">
        <v>25</v>
      </c>
    </row>
    <row r="152" spans="1:10" hidden="1">
      <c r="A152" s="2"/>
      <c r="J152" s="11">
        <v>26</v>
      </c>
    </row>
    <row r="153" spans="1:10" hidden="1">
      <c r="A153" s="2"/>
      <c r="J153" s="11">
        <v>27</v>
      </c>
    </row>
    <row r="154" spans="1:10" hidden="1">
      <c r="A154" s="2"/>
      <c r="J154" s="11">
        <v>28</v>
      </c>
    </row>
    <row r="155" spans="1:10" hidden="1">
      <c r="A155" s="2"/>
      <c r="J155" s="11">
        <v>29</v>
      </c>
    </row>
    <row r="156" spans="1:10" hidden="1">
      <c r="A156" s="2"/>
      <c r="J156" s="11">
        <v>30</v>
      </c>
    </row>
    <row r="157" spans="1:10" hidden="1">
      <c r="A157" s="2"/>
      <c r="J157" s="11">
        <v>31</v>
      </c>
    </row>
    <row r="158" spans="1:10" hidden="1">
      <c r="A158" s="2"/>
      <c r="J158" s="11">
        <v>32</v>
      </c>
    </row>
    <row r="159" spans="1:10" hidden="1">
      <c r="A159" s="2"/>
      <c r="J159" s="11">
        <v>33</v>
      </c>
    </row>
    <row r="160" spans="1:10" hidden="1">
      <c r="A160" s="2"/>
      <c r="J160" s="11">
        <v>34</v>
      </c>
    </row>
    <row r="161" spans="1:10" hidden="1">
      <c r="A161" s="2"/>
      <c r="J161" s="11">
        <v>35</v>
      </c>
    </row>
    <row r="162" spans="1:10" hidden="1">
      <c r="A162" s="2"/>
      <c r="J162" s="11">
        <v>36</v>
      </c>
    </row>
    <row r="163" spans="1:10" hidden="1">
      <c r="A163" s="2"/>
      <c r="J163" s="11">
        <v>37</v>
      </c>
    </row>
    <row r="164" spans="1:10" hidden="1">
      <c r="A164" s="2"/>
      <c r="J164" s="11">
        <v>38</v>
      </c>
    </row>
    <row r="165" spans="1:10" hidden="1">
      <c r="A165" s="2"/>
      <c r="J165" s="11">
        <v>39</v>
      </c>
    </row>
    <row r="166" spans="1:10" hidden="1">
      <c r="A166" s="2"/>
      <c r="J166" s="11">
        <v>40</v>
      </c>
    </row>
    <row r="167" spans="1:10" hidden="1">
      <c r="A167" s="2"/>
      <c r="J167" s="11">
        <v>41</v>
      </c>
    </row>
    <row r="168" spans="1:10" hidden="1">
      <c r="A168" s="2"/>
      <c r="J168" s="11">
        <v>42</v>
      </c>
    </row>
    <row r="169" spans="1:10" hidden="1">
      <c r="A169" s="2"/>
      <c r="J169" s="11">
        <v>43</v>
      </c>
    </row>
    <row r="170" spans="1:10" hidden="1">
      <c r="A170" s="2"/>
      <c r="J170" s="11">
        <v>44</v>
      </c>
    </row>
    <row r="171" spans="1:10" hidden="1">
      <c r="A171" s="2"/>
      <c r="J171" s="11">
        <v>45</v>
      </c>
    </row>
    <row r="172" spans="1:10" hidden="1">
      <c r="A172" s="2"/>
      <c r="J172" s="11">
        <v>46</v>
      </c>
    </row>
    <row r="173" spans="1:10" hidden="1">
      <c r="A173" s="2"/>
      <c r="J173" s="11">
        <v>47</v>
      </c>
    </row>
    <row r="174" spans="1:10" hidden="1">
      <c r="A174" s="2"/>
      <c r="J174" s="11">
        <v>48</v>
      </c>
    </row>
    <row r="175" spans="1:10" hidden="1">
      <c r="A175" s="2"/>
      <c r="J175" s="11">
        <v>49</v>
      </c>
    </row>
    <row r="176" spans="1:10" hidden="1">
      <c r="A176" s="2"/>
      <c r="J176" s="11">
        <v>50</v>
      </c>
    </row>
    <row r="177" spans="1:10" hidden="1">
      <c r="A177" s="2"/>
      <c r="J177" s="11">
        <v>51</v>
      </c>
    </row>
    <row r="178" spans="1:10" hidden="1">
      <c r="A178" s="2"/>
      <c r="J178" s="11">
        <v>52</v>
      </c>
    </row>
    <row r="179" spans="1:10" hidden="1">
      <c r="A179" s="2"/>
      <c r="J179" s="11">
        <v>53</v>
      </c>
    </row>
    <row r="180" spans="1:10" hidden="1">
      <c r="A180" s="2"/>
      <c r="J180" s="11">
        <v>54</v>
      </c>
    </row>
    <row r="181" spans="1:10" hidden="1">
      <c r="A181" s="2"/>
      <c r="J181" s="11">
        <v>55</v>
      </c>
    </row>
    <row r="182" spans="1:10" hidden="1">
      <c r="A182" s="2"/>
      <c r="J182" s="11">
        <v>56</v>
      </c>
    </row>
    <row r="183" spans="1:10" hidden="1">
      <c r="A183" s="2"/>
      <c r="J183" s="11">
        <v>57</v>
      </c>
    </row>
    <row r="184" spans="1:10" hidden="1">
      <c r="A184" s="2"/>
      <c r="J184" s="11">
        <v>58</v>
      </c>
    </row>
    <row r="185" spans="1:10" hidden="1">
      <c r="A185" s="2"/>
      <c r="J185" s="11">
        <v>59</v>
      </c>
    </row>
    <row r="186" spans="1:10" hidden="1">
      <c r="A186" s="2"/>
      <c r="J186" s="11">
        <v>60</v>
      </c>
    </row>
    <row r="187" spans="1:10" hidden="1">
      <c r="A187" s="2"/>
      <c r="J187" s="11">
        <v>61</v>
      </c>
    </row>
    <row r="188" spans="1:10" hidden="1">
      <c r="A188" s="2"/>
      <c r="J188" s="11">
        <v>62</v>
      </c>
    </row>
    <row r="189" spans="1:10" hidden="1">
      <c r="A189" s="2"/>
      <c r="J189" s="11">
        <v>63</v>
      </c>
    </row>
    <row r="190" spans="1:10" hidden="1">
      <c r="A190" s="2"/>
      <c r="J190" s="11">
        <v>64</v>
      </c>
    </row>
    <row r="191" spans="1:10" hidden="1">
      <c r="A191" s="2"/>
      <c r="J191" s="11">
        <v>65</v>
      </c>
    </row>
    <row r="192" spans="1:10" hidden="1">
      <c r="A192" s="2"/>
      <c r="J192" s="11">
        <v>66</v>
      </c>
    </row>
    <row r="193" spans="1:10" hidden="1">
      <c r="A193" s="2"/>
      <c r="J193" s="11">
        <v>67</v>
      </c>
    </row>
    <row r="194" spans="1:10" hidden="1">
      <c r="A194" s="2"/>
      <c r="J194" s="11">
        <v>68</v>
      </c>
    </row>
    <row r="195" spans="1:10" hidden="1">
      <c r="A195" s="2"/>
      <c r="J195" s="11">
        <v>69</v>
      </c>
    </row>
    <row r="196" spans="1:10" hidden="1">
      <c r="A196" s="2"/>
      <c r="J196" s="11">
        <v>70</v>
      </c>
    </row>
    <row r="197" spans="1:10" hidden="1">
      <c r="A197" s="2"/>
      <c r="J197" s="11">
        <v>71</v>
      </c>
    </row>
    <row r="198" spans="1:10" hidden="1">
      <c r="A198" s="2"/>
      <c r="J198" s="11">
        <v>72</v>
      </c>
    </row>
    <row r="199" spans="1:10" hidden="1">
      <c r="A199" s="2"/>
      <c r="J199" s="11">
        <v>73</v>
      </c>
    </row>
    <row r="200" spans="1:10" hidden="1">
      <c r="A200" s="2"/>
      <c r="J200" s="11">
        <v>74</v>
      </c>
    </row>
    <row r="201" spans="1:10" hidden="1">
      <c r="A201" s="2"/>
      <c r="J201" s="11">
        <v>75</v>
      </c>
    </row>
    <row r="202" spans="1:10" hidden="1">
      <c r="A202" s="2"/>
      <c r="J202" s="11">
        <v>76</v>
      </c>
    </row>
    <row r="203" spans="1:10" hidden="1">
      <c r="A203" s="2"/>
      <c r="J203" s="11">
        <v>77</v>
      </c>
    </row>
    <row r="204" spans="1:10" hidden="1">
      <c r="A204" s="2"/>
      <c r="J204" s="11">
        <v>78</v>
      </c>
    </row>
    <row r="205" spans="1:10" hidden="1">
      <c r="A205" s="2"/>
      <c r="J205" s="11">
        <v>79</v>
      </c>
    </row>
    <row r="206" spans="1:10" hidden="1">
      <c r="A206" s="2"/>
      <c r="J206" s="11">
        <v>80</v>
      </c>
    </row>
    <row r="207" spans="1:10" hidden="1">
      <c r="A207" s="2"/>
      <c r="J207" s="11">
        <v>81</v>
      </c>
    </row>
    <row r="208" spans="1:10" hidden="1">
      <c r="A208" s="2"/>
      <c r="J208" s="11">
        <v>82</v>
      </c>
    </row>
    <row r="209" spans="1:10" hidden="1">
      <c r="A209" s="2"/>
      <c r="J209" s="11">
        <v>83</v>
      </c>
    </row>
    <row r="210" spans="1:10" hidden="1">
      <c r="A210" s="2"/>
      <c r="J210" s="11">
        <v>84</v>
      </c>
    </row>
    <row r="211" spans="1:10" hidden="1">
      <c r="A211" s="2"/>
      <c r="J211" s="11">
        <v>85</v>
      </c>
    </row>
    <row r="212" spans="1:10" hidden="1">
      <c r="A212" s="2"/>
      <c r="J212" s="11">
        <v>86</v>
      </c>
    </row>
    <row r="213" spans="1:10" hidden="1">
      <c r="A213" s="2"/>
      <c r="J213" s="11">
        <v>87</v>
      </c>
    </row>
    <row r="214" spans="1:10" hidden="1">
      <c r="A214" s="2"/>
      <c r="J214" s="11">
        <v>88</v>
      </c>
    </row>
    <row r="215" spans="1:10" hidden="1">
      <c r="A215" s="2"/>
      <c r="J215" s="11">
        <v>89</v>
      </c>
    </row>
    <row r="216" spans="1:10" hidden="1">
      <c r="A216" s="2"/>
      <c r="J216" s="11">
        <v>90</v>
      </c>
    </row>
    <row r="217" spans="1:10" hidden="1">
      <c r="A217" s="2"/>
      <c r="J217" s="11">
        <v>91</v>
      </c>
    </row>
    <row r="218" spans="1:10" hidden="1">
      <c r="A218" s="2"/>
      <c r="J218" s="11">
        <v>92</v>
      </c>
    </row>
    <row r="219" spans="1:10" hidden="1">
      <c r="A219" s="2"/>
      <c r="J219" s="11">
        <v>93</v>
      </c>
    </row>
    <row r="220" spans="1:10" hidden="1">
      <c r="A220" s="2"/>
      <c r="J220" s="11">
        <v>94</v>
      </c>
    </row>
    <row r="221" spans="1:10" hidden="1">
      <c r="A221" s="2"/>
      <c r="J221" s="11">
        <v>95</v>
      </c>
    </row>
    <row r="222" spans="1:10" hidden="1">
      <c r="A222" s="2"/>
      <c r="J222" s="11">
        <v>96</v>
      </c>
    </row>
    <row r="223" spans="1:10" hidden="1">
      <c r="A223" s="2"/>
      <c r="J223" s="11">
        <v>97</v>
      </c>
    </row>
    <row r="224" spans="1:10" hidden="1">
      <c r="A224" s="2"/>
      <c r="J224" s="11">
        <v>98</v>
      </c>
    </row>
    <row r="225" spans="1:10" hidden="1">
      <c r="A225" s="2"/>
      <c r="J225" s="11">
        <v>99</v>
      </c>
    </row>
    <row r="226" spans="1:10" hidden="1">
      <c r="A226" s="2"/>
      <c r="J226" s="11">
        <v>100</v>
      </c>
    </row>
    <row r="227" spans="1:10" hidden="1">
      <c r="A227" s="2"/>
    </row>
    <row r="228" spans="1:10" hidden="1">
      <c r="A228" s="2"/>
    </row>
    <row r="229" spans="1:10" hidden="1">
      <c r="A229" s="2"/>
    </row>
    <row r="230" spans="1:10" hidden="1">
      <c r="A230" s="2"/>
    </row>
    <row r="231" spans="1:10" hidden="1">
      <c r="A231" s="2"/>
    </row>
    <row r="232" spans="1:10" hidden="1">
      <c r="A232" s="2"/>
    </row>
    <row r="233" spans="1:10" hidden="1">
      <c r="A233" s="2"/>
    </row>
    <row r="234" spans="1:10" hidden="1">
      <c r="A234" s="2"/>
    </row>
    <row r="235" spans="1:10" hidden="1">
      <c r="A235" s="2"/>
    </row>
    <row r="236" spans="1:10" hidden="1">
      <c r="A236" s="2"/>
    </row>
    <row r="237" spans="1:10" hidden="1">
      <c r="A237" s="2"/>
    </row>
    <row r="238" spans="1:10" hidden="1">
      <c r="A238" s="2"/>
    </row>
    <row r="239" spans="1:10" hidden="1">
      <c r="A239" s="2"/>
    </row>
    <row r="240" spans="1:10" hidden="1">
      <c r="A240" s="2"/>
    </row>
    <row r="241" spans="1:6" hidden="1">
      <c r="A241" s="2"/>
    </row>
    <row r="242" spans="1:6" hidden="1">
      <c r="A242" s="2"/>
    </row>
    <row r="243" spans="1:6" hidden="1">
      <c r="A243" s="2"/>
    </row>
    <row r="244" spans="1:6" hidden="1">
      <c r="A244" s="2"/>
    </row>
    <row r="245" spans="1:6" hidden="1">
      <c r="A245" s="2"/>
    </row>
    <row r="246" spans="1:6" hidden="1">
      <c r="A246" s="2"/>
    </row>
    <row r="247" spans="1:6" hidden="1">
      <c r="A247" s="2"/>
      <c r="B247" s="11"/>
      <c r="C247" s="11"/>
      <c r="D247" s="11"/>
      <c r="E247" s="11"/>
      <c r="F247" s="11"/>
    </row>
    <row r="248" spans="1:6" s="11" customFormat="1" hidden="1">
      <c r="A248" s="2"/>
    </row>
    <row r="249" spans="1:6" s="11" customFormat="1" hidden="1">
      <c r="A249" s="2"/>
    </row>
    <row r="250" spans="1:6" s="11" customFormat="1" hidden="1">
      <c r="A250" s="2"/>
    </row>
    <row r="251" spans="1:6" s="11" customFormat="1" hidden="1">
      <c r="A251" s="2"/>
    </row>
    <row r="252" spans="1:6" s="11" customFormat="1" hidden="1">
      <c r="A252" s="2"/>
    </row>
    <row r="253" spans="1:6" s="11" customFormat="1" hidden="1">
      <c r="A253" s="2"/>
    </row>
    <row r="254" spans="1:6" s="11" customFormat="1" hidden="1">
      <c r="A254" s="2"/>
    </row>
    <row r="255" spans="1:6" s="11" customFormat="1" hidden="1">
      <c r="A255" s="2"/>
    </row>
    <row r="256" spans="1:6" s="11" customFormat="1" hidden="1">
      <c r="A256" s="2"/>
    </row>
    <row r="257" spans="1:1" s="11" customFormat="1" hidden="1">
      <c r="A257" s="2"/>
    </row>
    <row r="258" spans="1:1" s="11" customFormat="1" hidden="1">
      <c r="A258" s="2"/>
    </row>
    <row r="259" spans="1:1" s="11" customFormat="1" hidden="1">
      <c r="A259" s="2"/>
    </row>
    <row r="260" spans="1:1" s="11" customFormat="1" hidden="1">
      <c r="A260" s="2"/>
    </row>
    <row r="261" spans="1:1" s="11" customFormat="1" hidden="1">
      <c r="A261" s="2"/>
    </row>
    <row r="262" spans="1:1" s="11" customFormat="1" hidden="1">
      <c r="A262" s="2"/>
    </row>
    <row r="263" spans="1:1" s="11" customFormat="1" hidden="1">
      <c r="A263" s="2"/>
    </row>
    <row r="264" spans="1:1" s="11" customFormat="1" hidden="1">
      <c r="A264" s="2"/>
    </row>
    <row r="265" spans="1:1" s="11" customFormat="1" hidden="1">
      <c r="A265" s="2"/>
    </row>
    <row r="266" spans="1:1" s="11" customFormat="1" hidden="1">
      <c r="A266" s="2"/>
    </row>
    <row r="267" spans="1:1" s="11" customFormat="1" hidden="1">
      <c r="A267" s="2"/>
    </row>
    <row r="268" spans="1:1" s="11" customFormat="1" hidden="1">
      <c r="A268" s="2"/>
    </row>
    <row r="269" spans="1:1" s="11" customFormat="1"/>
    <row r="270" spans="1:1" s="11" customFormat="1"/>
    <row r="271" spans="1:1" s="11" customFormat="1"/>
    <row r="272" spans="1:1"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pans="2:6" s="11" customFormat="1"/>
    <row r="946" spans="2:6" s="11" customFormat="1"/>
    <row r="947" spans="2:6" s="11" customFormat="1"/>
    <row r="948" spans="2:6" s="11" customFormat="1"/>
    <row r="949" spans="2:6" s="11" customFormat="1"/>
    <row r="950" spans="2:6" s="11" customFormat="1"/>
    <row r="951" spans="2:6" s="11" customFormat="1"/>
    <row r="952" spans="2:6" s="11" customFormat="1"/>
    <row r="953" spans="2:6" s="11" customFormat="1"/>
    <row r="954" spans="2:6" s="11" customFormat="1"/>
    <row r="955" spans="2:6" s="11" customFormat="1"/>
    <row r="956" spans="2:6" s="11" customFormat="1"/>
    <row r="957" spans="2:6" s="11" customFormat="1"/>
    <row r="958" spans="2:6" s="11" customFormat="1"/>
    <row r="959" spans="2:6" s="11" customFormat="1">
      <c r="B959"/>
      <c r="C959"/>
      <c r="D959"/>
      <c r="E959"/>
      <c r="F959"/>
    </row>
  </sheetData>
  <sheetProtection algorithmName="SHA-512" hashValue="VRIAcMB5c5D6la+2jhfnqWPHlb6hxlgW1muZz+DLtrqsy5wmJJNDb6SjK99qf+wmoStoATdzYnFmkE6zElL4Mg==" saltValue="31CDFDn6Q7Csh4FAeCP/+w==" spinCount="100000" sheet="1" selectLockedCells="1"/>
  <mergeCells count="11">
    <mergeCell ref="B26:F26"/>
    <mergeCell ref="C7:F7"/>
    <mergeCell ref="C8:F8"/>
    <mergeCell ref="B10:C10"/>
    <mergeCell ref="B11:C11"/>
    <mergeCell ref="B12:C12"/>
    <mergeCell ref="B3:F3"/>
    <mergeCell ref="B23:F23"/>
    <mergeCell ref="C4:F4"/>
    <mergeCell ref="C5:F5"/>
    <mergeCell ref="C6:F6"/>
  </mergeCells>
  <hyperlinks>
    <hyperlink ref="B15" location="'Split and Packaged Units'!A1" display="Split &amp; Packaged Units" xr:uid="{00000000-0004-0000-0100-000001000000}"/>
    <hyperlink ref="B16" location="'Air Source Heat Pumps'!A1" display="Air Source Heat Pumps" xr:uid="{00000000-0004-0000-0100-000002000000}"/>
    <hyperlink ref="B17" location="'Water Source Heat Pumps'!A1" display="Water Source Heat Pumps" xr:uid="{00000000-0004-0000-0100-000003000000}"/>
    <hyperlink ref="B18" location="'Ductless Mini Splits'!A1" display="Ductless Mini Splits" xr:uid="{00000000-0004-0000-0100-000004000000}"/>
    <hyperlink ref="B19" location="PTACs!A1" display="Packaged Terminal Air Conditioners" xr:uid="{00000000-0004-0000-0100-000005000000}"/>
    <hyperlink ref="B20" location="PTHPs!A1" display="Packaged Terminal Heat Pumps" xr:uid="{00000000-0004-0000-0100-000006000000}"/>
    <hyperlink ref="B21" location="'Window Air Conditioners'!A1" display="Window Air Conditioners" xr:uid="{7E5111D0-AE44-4BC8-9E81-4F415ED15F95}"/>
    <hyperlink ref="B22" location="'Commercial Smart Thermostat'!A1" display="Commercial Smart Thermostats" xr:uid="{CAA35034-25AE-4324-AEAB-E4822C33B067}"/>
  </hyperlink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theme="5" tint="-0.249977111117893"/>
  </sheetPr>
  <dimension ref="A1:CF369"/>
  <sheetViews>
    <sheetView workbookViewId="0"/>
  </sheetViews>
  <sheetFormatPr defaultColWidth="9.140625" defaultRowHeight="14.25"/>
  <cols>
    <col min="1" max="1" width="1.42578125" style="123" customWidth="1"/>
    <col min="2" max="2" width="6" style="123" customWidth="1"/>
    <col min="3" max="3" width="27.7109375" style="123" customWidth="1"/>
    <col min="4" max="4" width="22.7109375" style="123" customWidth="1"/>
    <col min="5" max="5" width="35.42578125" style="123" customWidth="1"/>
    <col min="6" max="6" width="19" style="123" customWidth="1"/>
    <col min="7" max="7" width="15.85546875" style="123" customWidth="1"/>
    <col min="8" max="10" width="22.42578125" style="123" customWidth="1"/>
    <col min="11" max="11" width="10.42578125" style="123" customWidth="1"/>
    <col min="12" max="13" width="16.7109375" style="123" customWidth="1"/>
    <col min="14" max="14" width="15.5703125" style="123" customWidth="1"/>
    <col min="15" max="15" width="17.28515625" style="123" customWidth="1"/>
    <col min="16" max="16" width="16.85546875" style="123" customWidth="1"/>
    <col min="17" max="17" width="17.140625" style="123" customWidth="1"/>
    <col min="18" max="18" width="10.140625" style="123" customWidth="1"/>
    <col min="19" max="19" width="7.85546875" style="123" customWidth="1"/>
    <col min="20" max="20" width="9.42578125" style="123" customWidth="1"/>
    <col min="21" max="21" width="10.140625" style="123" customWidth="1"/>
    <col min="22" max="22" width="7.85546875" style="123" customWidth="1"/>
    <col min="23" max="23" width="9.42578125" style="123" customWidth="1"/>
    <col min="24" max="24" width="12.140625" style="123" hidden="1" customWidth="1"/>
    <col min="25" max="25" width="11.5703125" style="123" hidden="1" customWidth="1"/>
    <col min="26" max="28" width="14.7109375" style="123" hidden="1" customWidth="1"/>
    <col min="29" max="29" width="13" style="123" hidden="1" customWidth="1"/>
    <col min="30" max="31" width="14" style="123" customWidth="1"/>
    <col min="32" max="32" width="14.7109375" style="123" customWidth="1"/>
    <col min="33" max="33" width="15" style="123" hidden="1" customWidth="1"/>
    <col min="34" max="34" width="24" style="123" customWidth="1"/>
    <col min="35" max="35" width="13.85546875" style="123" customWidth="1"/>
    <col min="36" max="36" width="32.85546875" style="123" hidden="1" customWidth="1"/>
    <col min="37" max="38" width="9.140625" style="123"/>
    <col min="39" max="39" width="16.85546875" style="123" customWidth="1"/>
    <col min="40" max="43" width="9.140625" style="123"/>
    <col min="44" max="46" width="22.28515625" style="123" customWidth="1"/>
    <col min="47" max="62" width="9.140625" style="123"/>
    <col min="63" max="63" width="11.85546875" style="123" customWidth="1"/>
    <col min="64" max="16384" width="9.140625" style="123"/>
  </cols>
  <sheetData>
    <row r="1" spans="1:84" ht="29.25" customHeight="1">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94" t="s">
        <v>60</v>
      </c>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row>
    <row r="2" spans="1:84" ht="29.25" customHeight="1">
      <c r="A2" s="115"/>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row>
    <row r="3" spans="1:84" ht="29.25" customHeight="1">
      <c r="A3" s="115"/>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row>
    <row r="4" spans="1:84" ht="29.25" customHeight="1">
      <c r="A4" s="115"/>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row>
    <row r="5" spans="1:84" ht="12.75" customHeight="1">
      <c r="A5" s="115"/>
      <c r="B5" s="165"/>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row>
    <row r="6" spans="1:84" ht="1.5" customHeight="1">
      <c r="A6" s="115"/>
      <c r="B6" s="115"/>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row>
    <row r="7" spans="1:84" ht="17.25" customHeight="1">
      <c r="A7" s="115"/>
      <c r="B7" s="143"/>
      <c r="C7" s="143"/>
      <c r="D7" s="700" t="s">
        <v>61</v>
      </c>
      <c r="E7" s="701"/>
      <c r="F7" s="701"/>
      <c r="G7" s="702"/>
      <c r="H7" s="700" t="s">
        <v>62</v>
      </c>
      <c r="I7" s="701"/>
      <c r="J7" s="702"/>
      <c r="K7" s="700" t="s">
        <v>63</v>
      </c>
      <c r="L7" s="701"/>
      <c r="M7" s="701"/>
      <c r="N7" s="701"/>
      <c r="O7" s="701"/>
      <c r="P7" s="701"/>
      <c r="Q7" s="701"/>
      <c r="R7" s="701"/>
      <c r="S7" s="701"/>
      <c r="T7" s="701"/>
      <c r="U7" s="701"/>
      <c r="V7" s="701"/>
      <c r="W7" s="702"/>
      <c r="X7" s="146"/>
      <c r="Y7" s="146"/>
      <c r="Z7" s="146"/>
      <c r="AA7" s="146"/>
      <c r="AB7" s="146"/>
      <c r="AC7" s="146"/>
      <c r="AD7" s="143"/>
      <c r="AE7" s="143"/>
      <c r="AF7" s="143"/>
      <c r="AG7" s="146"/>
      <c r="AH7" s="143"/>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row>
    <row r="8" spans="1:84" ht="17.25" customHeight="1">
      <c r="A8" s="115"/>
      <c r="B8" s="696" t="s">
        <v>64</v>
      </c>
      <c r="C8" s="696" t="s">
        <v>65</v>
      </c>
      <c r="D8" s="697" t="s">
        <v>66</v>
      </c>
      <c r="E8" s="696" t="s">
        <v>67</v>
      </c>
      <c r="F8" s="696" t="s">
        <v>68</v>
      </c>
      <c r="G8" s="699" t="s">
        <v>69</v>
      </c>
      <c r="H8" s="697" t="s">
        <v>70</v>
      </c>
      <c r="I8" s="696" t="s">
        <v>71</v>
      </c>
      <c r="J8" s="699" t="s">
        <v>72</v>
      </c>
      <c r="K8" s="697" t="s">
        <v>42</v>
      </c>
      <c r="L8" s="696" t="s">
        <v>73</v>
      </c>
      <c r="M8" s="696" t="s">
        <v>74</v>
      </c>
      <c r="N8" s="696" t="s">
        <v>75</v>
      </c>
      <c r="O8" s="696" t="s">
        <v>76</v>
      </c>
      <c r="P8" s="696" t="s">
        <v>77</v>
      </c>
      <c r="Q8" s="696" t="s">
        <v>78</v>
      </c>
      <c r="R8" s="697" t="s">
        <v>79</v>
      </c>
      <c r="S8" s="696"/>
      <c r="T8" s="699"/>
      <c r="U8" s="696" t="s">
        <v>80</v>
      </c>
      <c r="V8" s="696"/>
      <c r="W8" s="699"/>
      <c r="X8" s="698" t="s">
        <v>81</v>
      </c>
      <c r="Y8" s="698" t="s">
        <v>82</v>
      </c>
      <c r="Z8" s="698" t="s">
        <v>83</v>
      </c>
      <c r="AA8" s="698" t="s">
        <v>84</v>
      </c>
      <c r="AB8" s="698" t="s">
        <v>85</v>
      </c>
      <c r="AC8" s="698" t="s">
        <v>86</v>
      </c>
      <c r="AD8" s="696" t="s">
        <v>87</v>
      </c>
      <c r="AE8" s="696" t="s">
        <v>88</v>
      </c>
      <c r="AF8" s="696" t="s">
        <v>89</v>
      </c>
      <c r="AG8" s="698" t="s">
        <v>90</v>
      </c>
      <c r="AH8" s="696" t="s">
        <v>91</v>
      </c>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row>
    <row r="9" spans="1:84" ht="17.25" customHeight="1">
      <c r="A9" s="115"/>
      <c r="B9" s="696"/>
      <c r="C9" s="696"/>
      <c r="D9" s="697"/>
      <c r="E9" s="696"/>
      <c r="F9" s="696"/>
      <c r="G9" s="699"/>
      <c r="H9" s="697"/>
      <c r="I9" s="696"/>
      <c r="J9" s="699"/>
      <c r="K9" s="697"/>
      <c r="L9" s="696"/>
      <c r="M9" s="696"/>
      <c r="N9" s="696"/>
      <c r="O9" s="696"/>
      <c r="P9" s="696"/>
      <c r="Q9" s="696"/>
      <c r="R9" s="697"/>
      <c r="S9" s="696"/>
      <c r="T9" s="699"/>
      <c r="U9" s="696"/>
      <c r="V9" s="696"/>
      <c r="W9" s="699"/>
      <c r="X9" s="698"/>
      <c r="Y9" s="698"/>
      <c r="Z9" s="698"/>
      <c r="AA9" s="698"/>
      <c r="AB9" s="698"/>
      <c r="AC9" s="698"/>
      <c r="AD9" s="696"/>
      <c r="AE9" s="696"/>
      <c r="AF9" s="696"/>
      <c r="AG9" s="698"/>
      <c r="AH9" s="696"/>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row>
    <row r="10" spans="1:84" ht="17.25" customHeight="1">
      <c r="A10" s="115"/>
      <c r="B10" s="696"/>
      <c r="C10" s="696"/>
      <c r="D10" s="697"/>
      <c r="E10" s="696"/>
      <c r="F10" s="696"/>
      <c r="G10" s="699"/>
      <c r="H10" s="697"/>
      <c r="I10" s="696"/>
      <c r="J10" s="699"/>
      <c r="K10" s="697"/>
      <c r="L10" s="696"/>
      <c r="M10" s="696"/>
      <c r="N10" s="696"/>
      <c r="O10" s="696"/>
      <c r="P10" s="696"/>
      <c r="Q10" s="696"/>
      <c r="R10" s="697" t="s">
        <v>92</v>
      </c>
      <c r="S10" s="696"/>
      <c r="T10" s="459" t="s">
        <v>93</v>
      </c>
      <c r="U10" s="696" t="s">
        <v>92</v>
      </c>
      <c r="V10" s="696"/>
      <c r="W10" s="459" t="s">
        <v>93</v>
      </c>
      <c r="X10" s="698"/>
      <c r="Y10" s="698"/>
      <c r="Z10" s="698"/>
      <c r="AA10" s="698"/>
      <c r="AB10" s="698"/>
      <c r="AC10" s="698"/>
      <c r="AD10" s="696"/>
      <c r="AE10" s="696"/>
      <c r="AF10" s="696"/>
      <c r="AG10" s="698"/>
      <c r="AH10" s="696"/>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row>
    <row r="11" spans="1:84" customFormat="1" ht="19.5" customHeight="1">
      <c r="A11" s="11"/>
      <c r="B11" s="166">
        <v>1</v>
      </c>
      <c r="C11" s="167" t="s">
        <v>94</v>
      </c>
      <c r="D11" s="168"/>
      <c r="E11" s="168"/>
      <c r="F11" s="168"/>
      <c r="G11" s="169" t="str">
        <f>IFERROR(VLOOKUP(F11, 'Lookup Tables'!$B$5:$C$2224, 2, FALSE), "")</f>
        <v/>
      </c>
      <c r="H11" s="170"/>
      <c r="I11" s="171"/>
      <c r="J11" s="171"/>
      <c r="K11" s="170"/>
      <c r="L11" s="170"/>
      <c r="M11" s="170"/>
      <c r="N11" s="172"/>
      <c r="O11" s="172"/>
      <c r="P11" s="172"/>
      <c r="Q11" s="173" t="str">
        <f t="shared" ref="Q11:Q18" si="0">IF(P11="", "", P11/12000)</f>
        <v/>
      </c>
      <c r="R11" s="174" t="e">
        <f>VLOOKUP(AG11, $D$26:$H$27, IF(O11="Full Load", 3, 5), FALSE)</f>
        <v>#N/A</v>
      </c>
      <c r="S11" s="175" t="e">
        <f>IF(R11="", "", "EER")</f>
        <v>#N/A</v>
      </c>
      <c r="T11" s="171"/>
      <c r="U11" s="174" t="e">
        <f>VLOOKUP(AG11, $D$26:$H$27, IF(O11="Full Load", 2, 4), FALSE)</f>
        <v>#N/A</v>
      </c>
      <c r="V11" s="175" t="e">
        <f>IF(R11="", "", "EER")</f>
        <v>#N/A</v>
      </c>
      <c r="W11" s="171"/>
      <c r="X11" s="136" t="e">
        <f>VLOOKUP(E11, 'Lookup Tables'!$G$46:$P$55, MATCH(G11, 'Lookup Tables'!$H$45:$P$45,1)+1, FALSE)</f>
        <v>#N/A</v>
      </c>
      <c r="Y11" s="137" t="e">
        <f>VLOOKUP(E11, 'Lookup Tables'!$G$32:$P$41, MATCH(G11, 'Lookup Tables'!$H$31:$P$31,1)+1, FALSE)</f>
        <v>#N/A</v>
      </c>
      <c r="Z11" s="176" t="e">
        <f>VLOOKUP(AG11, $D$26:$L$27, IF(O11="Full Load", 3, 5), FALSE)</f>
        <v>#N/A</v>
      </c>
      <c r="AA11" s="176" t="e">
        <f>IF(AND(H11&lt;20, D11="Replacement"), IF(OR(I11="", I11&gt;Z11), Z11, I11), Z11)</f>
        <v>#N/A</v>
      </c>
      <c r="AB11" s="176" t="e">
        <f>VLOOKUP(AG11, $D$26:$L$27, IF(O11="Full Load", 2, 4), FALSE)</f>
        <v>#N/A</v>
      </c>
      <c r="AC11" s="176" t="e">
        <f t="shared" ref="AC11:AC18" si="1">IF(AND(H11&lt;20, D11="Replacement"), IF(OR(J11="", J11&gt;AB11), AB11, J11), AB11)</f>
        <v>#N/A</v>
      </c>
      <c r="AD11" s="138" t="e">
        <f>Q11*12*((1/AC11)-(1/W11))*X11*K11</f>
        <v>#VALUE!</v>
      </c>
      <c r="AE11" s="138" t="e">
        <f>Q11*12*((1/AA11)-(1/T11))*Y11*K11</f>
        <v>#VALUE!</v>
      </c>
      <c r="AF11" s="177" t="e">
        <f>IF(OR(D11="", Q11="", AE11="", AH11="No"),"", AE11*0.05)</f>
        <v>#VALUE!</v>
      </c>
      <c r="AG11" s="178" t="str">
        <f>IFERROR(IF(OR(D11="", P11=""), "", IF(Q11&lt;150, $D$26, $D$27)), "")</f>
        <v/>
      </c>
      <c r="AH11" s="139" t="str">
        <f>IF(OR(D11="", E11="", F11="", T11="", W11=""), "", IF(AND(T11&gt;R11, W11&gt;U11), "Yes", "No"))</f>
        <v/>
      </c>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row>
    <row r="12" spans="1:84" customFormat="1" ht="19.5" customHeight="1">
      <c r="A12" s="11"/>
      <c r="B12" s="17">
        <v>2</v>
      </c>
      <c r="C12" s="452" t="s">
        <v>94</v>
      </c>
      <c r="D12" s="31"/>
      <c r="E12" s="31"/>
      <c r="F12" s="31"/>
      <c r="G12" s="149" t="str">
        <f>IFERROR(VLOOKUP(F12, 'Lookup Tables'!$B$5:$C$2224, 2, FALSE), "")</f>
        <v/>
      </c>
      <c r="H12" s="13"/>
      <c r="I12" s="111"/>
      <c r="J12" s="111"/>
      <c r="K12" s="13"/>
      <c r="L12" s="13"/>
      <c r="M12" s="13"/>
      <c r="N12" s="12"/>
      <c r="O12" s="12"/>
      <c r="P12" s="12"/>
      <c r="Q12" s="34" t="str">
        <f t="shared" si="0"/>
        <v/>
      </c>
      <c r="R12" s="37" t="e">
        <f t="shared" ref="R12:R18" si="2">VLOOKUP(AG12, $D$26:$H$27, IF(O12="Full Load", 3, 5), FALSE)</f>
        <v>#N/A</v>
      </c>
      <c r="S12" s="38" t="e">
        <f t="shared" ref="S12:S18" si="3">IF(R12="", "", "EER")</f>
        <v>#N/A</v>
      </c>
      <c r="T12" s="111"/>
      <c r="U12" s="37" t="e">
        <f t="shared" ref="U12:U18" si="4">VLOOKUP(AG12, $D$26:$H$27, IF(O12="Full Load", 2, 4), FALSE)</f>
        <v>#N/A</v>
      </c>
      <c r="V12" s="38" t="e">
        <f t="shared" ref="V12:V18" si="5">IF(R12="", "", "EER")</f>
        <v>#N/A</v>
      </c>
      <c r="W12" s="111"/>
      <c r="X12" s="41" t="e">
        <f>VLOOKUP(E12, 'Lookup Tables'!$G$46:$P$55, MATCH(G12, 'Lookup Tables'!$H$45:$P$45,1)+1, FALSE)</f>
        <v>#N/A</v>
      </c>
      <c r="Y12" s="35" t="e">
        <f>VLOOKUP(E12, 'Lookup Tables'!$G$32:$P$41, MATCH(G12, 'Lookup Tables'!$H$31:$P$31,1)+1, FALSE)</f>
        <v>#N/A</v>
      </c>
      <c r="Z12" s="36" t="e">
        <f t="shared" ref="Z12:Z18" si="6">VLOOKUP(AG12, $D$26:$L$27, IF(O12="Full Load", 3, 5), FALSE)</f>
        <v>#N/A</v>
      </c>
      <c r="AA12" s="36" t="e">
        <f t="shared" ref="AA12:AA18" si="7">IF(AND(H12&lt;20, D12="Replacement"), IF(OR(I12="", I12&gt;Z12), Z12, I12), Z12)</f>
        <v>#N/A</v>
      </c>
      <c r="AB12" s="36" t="e">
        <f t="shared" ref="AB12:AB18" si="8">VLOOKUP(AG12, $D$26:$L$27, IF(O12="Full Load", 2, 4), FALSE)</f>
        <v>#N/A</v>
      </c>
      <c r="AC12" s="36" t="e">
        <f t="shared" si="1"/>
        <v>#N/A</v>
      </c>
      <c r="AD12" s="15" t="e">
        <f t="shared" ref="AD12:AD18" si="9">Q12*12*((1/AC12)-(1/W12))*X12*K12</f>
        <v>#VALUE!</v>
      </c>
      <c r="AE12" s="15" t="e">
        <f t="shared" ref="AE12:AE18" si="10">Q12*12*((1/AA12)-(1/T12))*Y12*K12</f>
        <v>#VALUE!</v>
      </c>
      <c r="AF12" s="16" t="e">
        <f t="shared" ref="AF12:AF18" si="11">IF(OR(D12="", Q12="", AE12="", AH12="No"),"", AE12*0.05)</f>
        <v>#VALUE!</v>
      </c>
      <c r="AG12" s="14" t="str">
        <f t="shared" ref="AG12:AG18" si="12">IFERROR(IF(OR(D12="", P12=""), "", IF(Q12&lt;150, $D$26, $D$27)), "")</f>
        <v/>
      </c>
      <c r="AH12" s="40" t="str">
        <f t="shared" ref="AH12:AH18" si="13">IF(OR(D12="", E12="", F12="", T12="", W12=""), "", IF(AND(T12&gt;R12, W12&gt;U12), "Yes", "No"))</f>
        <v/>
      </c>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row>
    <row r="13" spans="1:84" customFormat="1" ht="19.5" customHeight="1">
      <c r="A13" s="11"/>
      <c r="B13" s="17">
        <v>3</v>
      </c>
      <c r="C13" s="452" t="s">
        <v>94</v>
      </c>
      <c r="D13" s="31"/>
      <c r="E13" s="31"/>
      <c r="F13" s="31"/>
      <c r="G13" s="149" t="str">
        <f>IFERROR(VLOOKUP(F13, 'Lookup Tables'!$B$5:$C$2224, 2, FALSE), "")</f>
        <v/>
      </c>
      <c r="H13" s="13"/>
      <c r="I13" s="111"/>
      <c r="J13" s="111"/>
      <c r="K13" s="13"/>
      <c r="L13" s="13"/>
      <c r="M13" s="13"/>
      <c r="N13" s="12"/>
      <c r="O13" s="12"/>
      <c r="P13" s="12"/>
      <c r="Q13" s="34" t="str">
        <f t="shared" si="0"/>
        <v/>
      </c>
      <c r="R13" s="37" t="e">
        <f t="shared" si="2"/>
        <v>#N/A</v>
      </c>
      <c r="S13" s="38" t="e">
        <f t="shared" si="3"/>
        <v>#N/A</v>
      </c>
      <c r="T13" s="111"/>
      <c r="U13" s="37" t="e">
        <f t="shared" si="4"/>
        <v>#N/A</v>
      </c>
      <c r="V13" s="38" t="e">
        <f t="shared" si="5"/>
        <v>#N/A</v>
      </c>
      <c r="W13" s="111"/>
      <c r="X13" s="41" t="e">
        <f>VLOOKUP(E13, 'Lookup Tables'!$G$46:$P$55, MATCH(G13, 'Lookup Tables'!$H$45:$P$45,1)+1, FALSE)</f>
        <v>#N/A</v>
      </c>
      <c r="Y13" s="35" t="e">
        <f>VLOOKUP(E13, 'Lookup Tables'!$G$32:$P$41, MATCH(G13, 'Lookup Tables'!$H$31:$P$31,1)+1, FALSE)</f>
        <v>#N/A</v>
      </c>
      <c r="Z13" s="36" t="e">
        <f t="shared" si="6"/>
        <v>#N/A</v>
      </c>
      <c r="AA13" s="36" t="e">
        <f t="shared" si="7"/>
        <v>#N/A</v>
      </c>
      <c r="AB13" s="36" t="e">
        <f t="shared" si="8"/>
        <v>#N/A</v>
      </c>
      <c r="AC13" s="36" t="e">
        <f t="shared" si="1"/>
        <v>#N/A</v>
      </c>
      <c r="AD13" s="15" t="e">
        <f t="shared" si="9"/>
        <v>#VALUE!</v>
      </c>
      <c r="AE13" s="15" t="e">
        <f t="shared" si="10"/>
        <v>#VALUE!</v>
      </c>
      <c r="AF13" s="16" t="e">
        <f t="shared" si="11"/>
        <v>#VALUE!</v>
      </c>
      <c r="AG13" s="14" t="str">
        <f t="shared" si="12"/>
        <v/>
      </c>
      <c r="AH13" s="40" t="str">
        <f t="shared" si="13"/>
        <v/>
      </c>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row>
    <row r="14" spans="1:84" customFormat="1" ht="19.5" customHeight="1">
      <c r="A14" s="11"/>
      <c r="B14" s="17">
        <v>4</v>
      </c>
      <c r="C14" s="452" t="s">
        <v>94</v>
      </c>
      <c r="D14" s="31"/>
      <c r="E14" s="31"/>
      <c r="F14" s="31"/>
      <c r="G14" s="149" t="str">
        <f>IFERROR(VLOOKUP(F14, 'Lookup Tables'!$B$5:$C$2224, 2, FALSE), "")</f>
        <v/>
      </c>
      <c r="H14" s="13"/>
      <c r="I14" s="111"/>
      <c r="J14" s="111"/>
      <c r="K14" s="13"/>
      <c r="L14" s="13"/>
      <c r="M14" s="13"/>
      <c r="N14" s="12"/>
      <c r="O14" s="12"/>
      <c r="P14" s="12"/>
      <c r="Q14" s="34" t="str">
        <f t="shared" si="0"/>
        <v/>
      </c>
      <c r="R14" s="37" t="e">
        <f t="shared" si="2"/>
        <v>#N/A</v>
      </c>
      <c r="S14" s="38" t="e">
        <f t="shared" si="3"/>
        <v>#N/A</v>
      </c>
      <c r="T14" s="111"/>
      <c r="U14" s="37" t="e">
        <f t="shared" si="4"/>
        <v>#N/A</v>
      </c>
      <c r="V14" s="38" t="e">
        <f t="shared" si="5"/>
        <v>#N/A</v>
      </c>
      <c r="W14" s="111"/>
      <c r="X14" s="41" t="e">
        <f>VLOOKUP(E14, 'Lookup Tables'!$G$46:$P$55, MATCH(G14, 'Lookup Tables'!$H$45:$P$45,1)+1, FALSE)</f>
        <v>#N/A</v>
      </c>
      <c r="Y14" s="35" t="e">
        <f>VLOOKUP(E14, 'Lookup Tables'!$G$32:$P$41, MATCH(G14, 'Lookup Tables'!$H$31:$P$31,1)+1, FALSE)</f>
        <v>#N/A</v>
      </c>
      <c r="Z14" s="36" t="e">
        <f t="shared" si="6"/>
        <v>#N/A</v>
      </c>
      <c r="AA14" s="36" t="e">
        <f t="shared" si="7"/>
        <v>#N/A</v>
      </c>
      <c r="AB14" s="36" t="e">
        <f t="shared" si="8"/>
        <v>#N/A</v>
      </c>
      <c r="AC14" s="36" t="e">
        <f t="shared" si="1"/>
        <v>#N/A</v>
      </c>
      <c r="AD14" s="15" t="e">
        <f t="shared" si="9"/>
        <v>#VALUE!</v>
      </c>
      <c r="AE14" s="15" t="e">
        <f t="shared" si="10"/>
        <v>#VALUE!</v>
      </c>
      <c r="AF14" s="16" t="e">
        <f t="shared" si="11"/>
        <v>#VALUE!</v>
      </c>
      <c r="AG14" s="14" t="str">
        <f t="shared" si="12"/>
        <v/>
      </c>
      <c r="AH14" s="40" t="str">
        <f t="shared" si="13"/>
        <v/>
      </c>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row>
    <row r="15" spans="1:84" customFormat="1" ht="19.5" customHeight="1">
      <c r="A15" s="11"/>
      <c r="B15" s="17">
        <v>5</v>
      </c>
      <c r="C15" s="452" t="s">
        <v>94</v>
      </c>
      <c r="D15" s="31"/>
      <c r="E15" s="31"/>
      <c r="F15" s="31"/>
      <c r="G15" s="149" t="str">
        <f>IFERROR(VLOOKUP(F15, 'Lookup Tables'!$B$5:$C$2224, 2, FALSE), "")</f>
        <v/>
      </c>
      <c r="H15" s="13"/>
      <c r="I15" s="111"/>
      <c r="J15" s="111"/>
      <c r="K15" s="13"/>
      <c r="L15" s="13"/>
      <c r="M15" s="13"/>
      <c r="N15" s="12"/>
      <c r="O15" s="12"/>
      <c r="P15" s="12"/>
      <c r="Q15" s="34" t="str">
        <f t="shared" si="0"/>
        <v/>
      </c>
      <c r="R15" s="37" t="e">
        <f t="shared" si="2"/>
        <v>#N/A</v>
      </c>
      <c r="S15" s="38" t="e">
        <f t="shared" si="3"/>
        <v>#N/A</v>
      </c>
      <c r="T15" s="111"/>
      <c r="U15" s="37" t="e">
        <f t="shared" si="4"/>
        <v>#N/A</v>
      </c>
      <c r="V15" s="38" t="e">
        <f t="shared" si="5"/>
        <v>#N/A</v>
      </c>
      <c r="W15" s="111"/>
      <c r="X15" s="41" t="e">
        <f>VLOOKUP(E15, 'Lookup Tables'!$G$46:$P$55, MATCH(G15, 'Lookup Tables'!$H$45:$P$45,1)+1, FALSE)</f>
        <v>#N/A</v>
      </c>
      <c r="Y15" s="35" t="e">
        <f>VLOOKUP(E15, 'Lookup Tables'!$G$32:$P$41, MATCH(G15, 'Lookup Tables'!$H$31:$P$31,1)+1, FALSE)</f>
        <v>#N/A</v>
      </c>
      <c r="Z15" s="36" t="e">
        <f t="shared" si="6"/>
        <v>#N/A</v>
      </c>
      <c r="AA15" s="36" t="e">
        <f t="shared" si="7"/>
        <v>#N/A</v>
      </c>
      <c r="AB15" s="36" t="e">
        <f t="shared" si="8"/>
        <v>#N/A</v>
      </c>
      <c r="AC15" s="36" t="e">
        <f t="shared" si="1"/>
        <v>#N/A</v>
      </c>
      <c r="AD15" s="15" t="e">
        <f t="shared" si="9"/>
        <v>#VALUE!</v>
      </c>
      <c r="AE15" s="15" t="e">
        <f t="shared" si="10"/>
        <v>#VALUE!</v>
      </c>
      <c r="AF15" s="16" t="e">
        <f t="shared" si="11"/>
        <v>#VALUE!</v>
      </c>
      <c r="AG15" s="14" t="str">
        <f t="shared" si="12"/>
        <v/>
      </c>
      <c r="AH15" s="40" t="str">
        <f t="shared" si="13"/>
        <v/>
      </c>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row>
    <row r="16" spans="1:84" customFormat="1" ht="19.5" customHeight="1">
      <c r="A16" s="11"/>
      <c r="B16" s="17">
        <v>6</v>
      </c>
      <c r="C16" s="452" t="s">
        <v>94</v>
      </c>
      <c r="D16" s="31"/>
      <c r="E16" s="31"/>
      <c r="F16" s="31"/>
      <c r="G16" s="149" t="str">
        <f>IFERROR(VLOOKUP(F16, 'Lookup Tables'!$B$5:$C$2224, 2, FALSE), "")</f>
        <v/>
      </c>
      <c r="H16" s="13"/>
      <c r="I16" s="111"/>
      <c r="J16" s="111"/>
      <c r="K16" s="13"/>
      <c r="L16" s="13"/>
      <c r="M16" s="13"/>
      <c r="N16" s="12"/>
      <c r="O16" s="12"/>
      <c r="P16" s="12"/>
      <c r="Q16" s="34" t="str">
        <f t="shared" si="0"/>
        <v/>
      </c>
      <c r="R16" s="37" t="e">
        <f t="shared" si="2"/>
        <v>#N/A</v>
      </c>
      <c r="S16" s="38" t="e">
        <f t="shared" si="3"/>
        <v>#N/A</v>
      </c>
      <c r="T16" s="111"/>
      <c r="U16" s="37" t="e">
        <f t="shared" si="4"/>
        <v>#N/A</v>
      </c>
      <c r="V16" s="38" t="e">
        <f t="shared" si="5"/>
        <v>#N/A</v>
      </c>
      <c r="W16" s="111"/>
      <c r="X16" s="41" t="e">
        <f>VLOOKUP(E16, 'Lookup Tables'!$G$46:$P$55, MATCH(G16, 'Lookup Tables'!$H$45:$P$45,1)+1, FALSE)</f>
        <v>#N/A</v>
      </c>
      <c r="Y16" s="35" t="e">
        <f>VLOOKUP(E16, 'Lookup Tables'!$G$32:$P$41, MATCH(G16, 'Lookup Tables'!$H$31:$P$31,1)+1, FALSE)</f>
        <v>#N/A</v>
      </c>
      <c r="Z16" s="36" t="e">
        <f t="shared" si="6"/>
        <v>#N/A</v>
      </c>
      <c r="AA16" s="36" t="e">
        <f t="shared" si="7"/>
        <v>#N/A</v>
      </c>
      <c r="AB16" s="36" t="e">
        <f t="shared" si="8"/>
        <v>#N/A</v>
      </c>
      <c r="AC16" s="36" t="e">
        <f t="shared" si="1"/>
        <v>#N/A</v>
      </c>
      <c r="AD16" s="15" t="e">
        <f t="shared" si="9"/>
        <v>#VALUE!</v>
      </c>
      <c r="AE16" s="15" t="e">
        <f t="shared" si="10"/>
        <v>#VALUE!</v>
      </c>
      <c r="AF16" s="16" t="e">
        <f t="shared" si="11"/>
        <v>#VALUE!</v>
      </c>
      <c r="AG16" s="14" t="str">
        <f t="shared" si="12"/>
        <v/>
      </c>
      <c r="AH16" s="40" t="str">
        <f t="shared" si="13"/>
        <v/>
      </c>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row>
    <row r="17" spans="1:84" customFormat="1" ht="19.5" customHeight="1">
      <c r="A17" s="11"/>
      <c r="B17" s="17">
        <v>7</v>
      </c>
      <c r="C17" s="452" t="s">
        <v>94</v>
      </c>
      <c r="D17" s="31"/>
      <c r="E17" s="31"/>
      <c r="F17" s="31"/>
      <c r="G17" s="149" t="str">
        <f>IFERROR(VLOOKUP(F17, 'Lookup Tables'!$B$5:$C$2224, 2, FALSE), "")</f>
        <v/>
      </c>
      <c r="H17" s="13"/>
      <c r="I17" s="111"/>
      <c r="J17" s="111"/>
      <c r="K17" s="13"/>
      <c r="L17" s="13"/>
      <c r="M17" s="13"/>
      <c r="N17" s="12"/>
      <c r="O17" s="12"/>
      <c r="P17" s="12"/>
      <c r="Q17" s="34" t="str">
        <f t="shared" si="0"/>
        <v/>
      </c>
      <c r="R17" s="37" t="e">
        <f t="shared" si="2"/>
        <v>#N/A</v>
      </c>
      <c r="S17" s="38" t="e">
        <f t="shared" si="3"/>
        <v>#N/A</v>
      </c>
      <c r="T17" s="111"/>
      <c r="U17" s="37" t="e">
        <f t="shared" si="4"/>
        <v>#N/A</v>
      </c>
      <c r="V17" s="38" t="e">
        <f t="shared" si="5"/>
        <v>#N/A</v>
      </c>
      <c r="W17" s="111"/>
      <c r="X17" s="41" t="e">
        <f>VLOOKUP(E17, 'Lookup Tables'!$G$46:$P$55, MATCH(G17, 'Lookup Tables'!$H$45:$P$45,1)+1, FALSE)</f>
        <v>#N/A</v>
      </c>
      <c r="Y17" s="35" t="e">
        <f>VLOOKUP(E17, 'Lookup Tables'!$G$32:$P$41, MATCH(G17, 'Lookup Tables'!$H$31:$P$31,1)+1, FALSE)</f>
        <v>#N/A</v>
      </c>
      <c r="Z17" s="36" t="e">
        <f t="shared" si="6"/>
        <v>#N/A</v>
      </c>
      <c r="AA17" s="36" t="e">
        <f t="shared" si="7"/>
        <v>#N/A</v>
      </c>
      <c r="AB17" s="36" t="e">
        <f t="shared" si="8"/>
        <v>#N/A</v>
      </c>
      <c r="AC17" s="36" t="e">
        <f t="shared" si="1"/>
        <v>#N/A</v>
      </c>
      <c r="AD17" s="15" t="e">
        <f t="shared" si="9"/>
        <v>#VALUE!</v>
      </c>
      <c r="AE17" s="15" t="e">
        <f t="shared" si="10"/>
        <v>#VALUE!</v>
      </c>
      <c r="AF17" s="16" t="e">
        <f t="shared" si="11"/>
        <v>#VALUE!</v>
      </c>
      <c r="AG17" s="14" t="str">
        <f t="shared" si="12"/>
        <v/>
      </c>
      <c r="AH17" s="40" t="str">
        <f t="shared" si="13"/>
        <v/>
      </c>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row>
    <row r="18" spans="1:84" customFormat="1" ht="19.5" customHeight="1">
      <c r="A18" s="11"/>
      <c r="B18" s="17">
        <v>8</v>
      </c>
      <c r="C18" s="452" t="s">
        <v>94</v>
      </c>
      <c r="D18" s="31"/>
      <c r="E18" s="31"/>
      <c r="F18" s="31"/>
      <c r="G18" s="149" t="str">
        <f>IFERROR(VLOOKUP(F18, 'Lookup Tables'!$B$5:$C$2224, 2, FALSE), "")</f>
        <v/>
      </c>
      <c r="H18" s="13"/>
      <c r="I18" s="111"/>
      <c r="J18" s="111"/>
      <c r="K18" s="13"/>
      <c r="L18" s="13"/>
      <c r="M18" s="13"/>
      <c r="N18" s="12"/>
      <c r="O18" s="12"/>
      <c r="P18" s="12"/>
      <c r="Q18" s="34" t="str">
        <f t="shared" si="0"/>
        <v/>
      </c>
      <c r="R18" s="37" t="e">
        <f t="shared" si="2"/>
        <v>#N/A</v>
      </c>
      <c r="S18" s="38" t="e">
        <f t="shared" si="3"/>
        <v>#N/A</v>
      </c>
      <c r="T18" s="111"/>
      <c r="U18" s="37" t="e">
        <f t="shared" si="4"/>
        <v>#N/A</v>
      </c>
      <c r="V18" s="38" t="e">
        <f t="shared" si="5"/>
        <v>#N/A</v>
      </c>
      <c r="W18" s="111"/>
      <c r="X18" s="41" t="e">
        <f>VLOOKUP(E18, 'Lookup Tables'!$G$46:$P$55, MATCH(G18, 'Lookup Tables'!$H$45:$P$45,1)+1, FALSE)</f>
        <v>#N/A</v>
      </c>
      <c r="Y18" s="35" t="e">
        <f>VLOOKUP(E18, 'Lookup Tables'!$G$32:$P$41, MATCH(G18, 'Lookup Tables'!$H$31:$P$31,1)+1, FALSE)</f>
        <v>#N/A</v>
      </c>
      <c r="Z18" s="36" t="e">
        <f t="shared" si="6"/>
        <v>#N/A</v>
      </c>
      <c r="AA18" s="36" t="e">
        <f t="shared" si="7"/>
        <v>#N/A</v>
      </c>
      <c r="AB18" s="36" t="e">
        <f t="shared" si="8"/>
        <v>#N/A</v>
      </c>
      <c r="AC18" s="36" t="e">
        <f t="shared" si="1"/>
        <v>#N/A</v>
      </c>
      <c r="AD18" s="15" t="e">
        <f t="shared" si="9"/>
        <v>#VALUE!</v>
      </c>
      <c r="AE18" s="15" t="e">
        <f t="shared" si="10"/>
        <v>#VALUE!</v>
      </c>
      <c r="AF18" s="16" t="e">
        <f t="shared" si="11"/>
        <v>#VALUE!</v>
      </c>
      <c r="AG18" s="14" t="str">
        <f t="shared" si="12"/>
        <v/>
      </c>
      <c r="AH18" s="40" t="str">
        <f t="shared" si="13"/>
        <v/>
      </c>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row>
    <row r="19" spans="1:84" ht="3.75" customHeight="1">
      <c r="A19" s="115"/>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row>
    <row r="20" spans="1:84" ht="15" customHeight="1">
      <c r="A20" s="115"/>
      <c r="B20" s="115"/>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row>
    <row r="21" spans="1:84" ht="15" customHeight="1">
      <c r="A21" s="115"/>
      <c r="B21" s="11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row>
    <row r="22" spans="1:84" customFormat="1" ht="15" hidden="1">
      <c r="A22" s="11"/>
      <c r="B22" s="11"/>
      <c r="C22" s="705" t="s">
        <v>95</v>
      </c>
      <c r="D22" s="706"/>
      <c r="E22" s="706"/>
      <c r="F22" s="706"/>
      <c r="G22" s="706"/>
      <c r="H22" s="706"/>
      <c r="I22" s="706"/>
      <c r="J22" s="706"/>
      <c r="K22" s="706"/>
      <c r="L22" s="707"/>
      <c r="M22" s="11"/>
      <c r="N22" s="69" t="s">
        <v>96</v>
      </c>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row>
    <row r="23" spans="1:84" customFormat="1" ht="15" hidden="1" customHeight="1">
      <c r="A23" s="11"/>
      <c r="B23" s="11"/>
      <c r="C23" s="90"/>
      <c r="D23" s="91"/>
      <c r="E23" s="708" t="s">
        <v>97</v>
      </c>
      <c r="F23" s="708"/>
      <c r="G23" s="708"/>
      <c r="H23" s="708"/>
      <c r="I23" s="709" t="s">
        <v>98</v>
      </c>
      <c r="J23" s="710"/>
      <c r="K23" s="710"/>
      <c r="L23" s="711"/>
      <c r="M23" s="11"/>
      <c r="N23" s="1" t="s">
        <v>99</v>
      </c>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row>
    <row r="24" spans="1:84" customFormat="1" ht="15" hidden="1">
      <c r="A24" s="11"/>
      <c r="B24" s="11"/>
      <c r="C24" s="90"/>
      <c r="D24" s="91"/>
      <c r="E24" s="703" t="s">
        <v>100</v>
      </c>
      <c r="F24" s="703"/>
      <c r="G24" s="703" t="s">
        <v>101</v>
      </c>
      <c r="H24" s="703"/>
      <c r="I24" s="703" t="s">
        <v>100</v>
      </c>
      <c r="J24" s="703"/>
      <c r="K24" s="703" t="s">
        <v>101</v>
      </c>
      <c r="L24" s="704"/>
      <c r="M24" s="11"/>
      <c r="N24" s="1" t="s">
        <v>102</v>
      </c>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row>
    <row r="25" spans="1:84" customFormat="1" ht="15" hidden="1">
      <c r="A25" s="11"/>
      <c r="B25" s="11"/>
      <c r="C25" s="106" t="s">
        <v>103</v>
      </c>
      <c r="D25" s="107" t="s">
        <v>104</v>
      </c>
      <c r="E25" s="454" t="s">
        <v>102</v>
      </c>
      <c r="F25" s="454" t="s">
        <v>105</v>
      </c>
      <c r="G25" s="454" t="s">
        <v>102</v>
      </c>
      <c r="H25" s="454" t="s">
        <v>105</v>
      </c>
      <c r="I25" s="454" t="s">
        <v>102</v>
      </c>
      <c r="J25" s="454" t="s">
        <v>105</v>
      </c>
      <c r="K25" s="454" t="s">
        <v>102</v>
      </c>
      <c r="L25" s="455" t="s">
        <v>105</v>
      </c>
      <c r="M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row>
    <row r="26" spans="1:84" customFormat="1" ht="15" hidden="1">
      <c r="A26" s="11"/>
      <c r="B26" s="11"/>
      <c r="C26" s="93" t="s">
        <v>106</v>
      </c>
      <c r="D26" s="83" t="s">
        <v>107</v>
      </c>
      <c r="E26" s="100">
        <v>9.5619999999999994</v>
      </c>
      <c r="F26" s="100">
        <v>12.5</v>
      </c>
      <c r="G26" s="100" t="s">
        <v>108</v>
      </c>
      <c r="H26" s="100" t="s">
        <v>108</v>
      </c>
      <c r="I26" s="100" t="s">
        <v>109</v>
      </c>
      <c r="J26" s="100" t="s">
        <v>109</v>
      </c>
      <c r="K26" s="100" t="s">
        <v>109</v>
      </c>
      <c r="L26" s="101" t="s">
        <v>109</v>
      </c>
      <c r="M26" s="11"/>
      <c r="N26" s="69" t="s">
        <v>110</v>
      </c>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row>
    <row r="27" spans="1:84" customFormat="1" ht="15" hidden="1">
      <c r="A27" s="11"/>
      <c r="B27" s="11"/>
      <c r="C27" s="93" t="s">
        <v>106</v>
      </c>
      <c r="D27" s="83" t="s">
        <v>111</v>
      </c>
      <c r="E27" s="100">
        <v>9.5619999999999994</v>
      </c>
      <c r="F27" s="100">
        <v>12.75</v>
      </c>
      <c r="G27" s="100" t="s">
        <v>108</v>
      </c>
      <c r="H27" s="100" t="s">
        <v>108</v>
      </c>
      <c r="I27" s="100" t="s">
        <v>109</v>
      </c>
      <c r="J27" s="100" t="s">
        <v>109</v>
      </c>
      <c r="K27" s="100" t="s">
        <v>109</v>
      </c>
      <c r="L27" s="101" t="s">
        <v>109</v>
      </c>
      <c r="M27" s="11"/>
      <c r="N27" s="24">
        <v>0.05</v>
      </c>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row>
    <row r="28" spans="1:84" customFormat="1" ht="1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row>
    <row r="29" spans="1:84" customFormat="1" ht="1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row>
    <row r="30" spans="1:84" customFormat="1" ht="1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row>
    <row r="31" spans="1:84" customFormat="1" ht="1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row>
    <row r="32" spans="1:84" customFormat="1" ht="1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row>
    <row r="33" spans="1:84" customFormat="1" ht="1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row>
    <row r="34" spans="1:84" customFormat="1" ht="1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row>
    <row r="35" spans="1:84" customFormat="1" ht="1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row>
    <row r="36" spans="1:84" customFormat="1" ht="1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row>
    <row r="37" spans="1:84" customFormat="1" ht="1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row>
    <row r="38" spans="1:84" customFormat="1" ht="1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row>
    <row r="39" spans="1:84" customFormat="1" ht="1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row>
    <row r="40" spans="1:84" customFormat="1" ht="1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row>
    <row r="41" spans="1:84" customFormat="1" ht="1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row>
    <row r="42" spans="1:84" customFormat="1" ht="1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row>
    <row r="43" spans="1:84" customFormat="1" ht="1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row>
    <row r="44" spans="1:84" customFormat="1" ht="1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row>
    <row r="45" spans="1:84" customFormat="1" ht="1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row>
    <row r="46" spans="1:84" customFormat="1" ht="1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row>
    <row r="47" spans="1:84" customFormat="1" ht="1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row>
    <row r="48" spans="1:84" customFormat="1" ht="1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row>
    <row r="49" spans="1:84" customFormat="1" ht="1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row>
    <row r="50" spans="1:84" customFormat="1" ht="1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row>
    <row r="51" spans="1:84" customFormat="1" ht="1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row>
    <row r="52" spans="1:84" customFormat="1" ht="1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row>
    <row r="53" spans="1:84" customFormat="1" ht="1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row>
    <row r="54" spans="1:84" customFormat="1" ht="1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row>
    <row r="55" spans="1:84" customFormat="1" ht="1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row>
    <row r="56" spans="1:84" customFormat="1" ht="1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row>
    <row r="57" spans="1:84" customFormat="1" ht="1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row>
    <row r="58" spans="1:84" customFormat="1" ht="1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row>
    <row r="59" spans="1:84" customFormat="1" ht="1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row>
    <row r="60" spans="1:84" customFormat="1" ht="1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row>
    <row r="61" spans="1:84" customFormat="1" ht="1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row>
    <row r="62" spans="1:84" customFormat="1" ht="1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row>
    <row r="63" spans="1:84" customFormat="1" ht="1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row>
    <row r="64" spans="1:84" customFormat="1" ht="1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row>
    <row r="65" spans="1:84" customFormat="1" ht="1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row>
    <row r="66" spans="1:84" customFormat="1" ht="1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row>
    <row r="67" spans="1:84" customFormat="1" ht="1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row>
    <row r="68" spans="1:84" customFormat="1" ht="1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row>
    <row r="69" spans="1:84" customFormat="1" ht="1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row>
    <row r="70" spans="1:84" customFormat="1" ht="1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row>
    <row r="71" spans="1:84" customFormat="1" ht="1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row>
    <row r="72" spans="1:84" customFormat="1" ht="1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row>
    <row r="73" spans="1:84" customFormat="1" ht="1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row>
    <row r="74" spans="1:84" customFormat="1" ht="1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row>
    <row r="75" spans="1:84" customFormat="1" ht="1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row>
    <row r="76" spans="1:84" customFormat="1" ht="1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row>
    <row r="77" spans="1:84" customFormat="1" ht="1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row>
    <row r="78" spans="1:84" customFormat="1" ht="1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row>
    <row r="79" spans="1:84" customFormat="1" ht="1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row>
    <row r="80" spans="1:84" customFormat="1" ht="1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row>
    <row r="81" spans="1:84" customFormat="1" ht="1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row>
    <row r="82" spans="1:84" customFormat="1" ht="1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row>
    <row r="83" spans="1:84" customFormat="1" ht="1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row>
    <row r="84" spans="1:84" customFormat="1" ht="1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row>
    <row r="85" spans="1:84" customFormat="1" ht="1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row>
    <row r="86" spans="1:84" customFormat="1" ht="1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row>
    <row r="87" spans="1:84" customFormat="1" ht="1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row>
    <row r="88" spans="1:84" customFormat="1" ht="1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row>
    <row r="89" spans="1:84" customFormat="1" ht="1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row>
    <row r="90" spans="1:84" customFormat="1" ht="1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row>
    <row r="91" spans="1:84" customFormat="1" ht="1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row>
    <row r="92" spans="1:84" customFormat="1" ht="1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row>
    <row r="93" spans="1:84" customFormat="1" ht="1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row>
    <row r="94" spans="1:84" customFormat="1" ht="1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row>
    <row r="95" spans="1:84" customFormat="1" ht="1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row>
    <row r="96" spans="1:84" customFormat="1" ht="1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row>
    <row r="97" spans="1:84" customFormat="1" ht="1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row>
    <row r="98" spans="1:84" customFormat="1" ht="1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row>
    <row r="99" spans="1:84" customFormat="1" ht="1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row>
    <row r="100" spans="1:84" customFormat="1" ht="1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row>
    <row r="101" spans="1:84" customFormat="1" ht="1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row>
    <row r="102" spans="1:84" customFormat="1" ht="1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row>
    <row r="103" spans="1:84" customFormat="1" ht="1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row>
    <row r="104" spans="1:84" customFormat="1" ht="1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row>
    <row r="105" spans="1:84" customFormat="1" ht="1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row>
    <row r="106" spans="1:84" customFormat="1" ht="1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row>
    <row r="107" spans="1:84" customFormat="1" ht="1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row>
    <row r="108" spans="1:84" customFormat="1" ht="1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row>
    <row r="109" spans="1:84" customFormat="1" ht="1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row>
    <row r="110" spans="1:84" customFormat="1" ht="1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row>
    <row r="111" spans="1:84" customFormat="1" ht="1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row>
    <row r="112" spans="1:84" customFormat="1" ht="1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row>
    <row r="113" spans="1:84" customFormat="1" ht="1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row>
    <row r="114" spans="1:84" customFormat="1" ht="1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row>
    <row r="115" spans="1:84" customFormat="1" ht="1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row>
    <row r="116" spans="1:84" customFormat="1" ht="1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row>
    <row r="117" spans="1:84" customFormat="1" ht="1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row>
    <row r="118" spans="1:84" customFormat="1" ht="1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row>
    <row r="119" spans="1:84" customFormat="1" ht="1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row>
    <row r="120" spans="1:84" customFormat="1" ht="1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row>
    <row r="121" spans="1:84" customFormat="1" ht="1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row>
    <row r="122" spans="1:84" customFormat="1" ht="1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row>
    <row r="123" spans="1:84" customFormat="1" ht="1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row>
    <row r="124" spans="1:84" customFormat="1" ht="1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row>
    <row r="125" spans="1:84">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row>
    <row r="126" spans="1:84">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15"/>
      <c r="CD126" s="115"/>
      <c r="CE126" s="115"/>
      <c r="CF126" s="115"/>
    </row>
    <row r="127" spans="1:84">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15"/>
      <c r="CD127" s="115"/>
      <c r="CE127" s="115"/>
      <c r="CF127" s="115"/>
    </row>
    <row r="128" spans="1:84">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row>
    <row r="129" spans="1:84">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row>
    <row r="130" spans="1:84">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row>
    <row r="131" spans="1:84">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row>
    <row r="132" spans="1:84">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row>
    <row r="133" spans="1:84">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row>
    <row r="134" spans="1:84">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row>
    <row r="135" spans="1:84">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row>
    <row r="136" spans="1:84">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row>
    <row r="137" spans="1:84">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row>
    <row r="138" spans="1:84">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row>
    <row r="139" spans="1:84">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row>
    <row r="140" spans="1:84">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15"/>
      <c r="CD140" s="115"/>
      <c r="CE140" s="115"/>
      <c r="CF140" s="115"/>
    </row>
    <row r="141" spans="1:84">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row>
    <row r="142" spans="1:84">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row>
    <row r="143" spans="1:84">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row>
    <row r="144" spans="1:84">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row>
    <row r="145" spans="1:84">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row>
    <row r="146" spans="1:84">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row>
    <row r="147" spans="1:84">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row>
    <row r="148" spans="1:84">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row>
    <row r="149" spans="1:84">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15"/>
      <c r="CD149" s="115"/>
      <c r="CE149" s="115"/>
      <c r="CF149" s="115"/>
    </row>
    <row r="150" spans="1:84">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15"/>
      <c r="CD150" s="115"/>
      <c r="CE150" s="115"/>
      <c r="CF150" s="115"/>
    </row>
    <row r="151" spans="1:84">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row>
    <row r="152" spans="1:84">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row>
    <row r="153" spans="1:84">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row>
    <row r="154" spans="1:84">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row>
    <row r="155" spans="1:84">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row>
    <row r="156" spans="1:84">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row>
    <row r="157" spans="1:84">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row>
    <row r="158" spans="1:84">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row>
    <row r="159" spans="1:84">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row>
    <row r="160" spans="1:84">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15"/>
      <c r="CD160" s="115"/>
      <c r="CE160" s="115"/>
      <c r="CF160" s="115"/>
    </row>
    <row r="161" spans="1:84">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row>
    <row r="162" spans="1:84">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row>
    <row r="163" spans="1:84">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c r="CC163" s="115"/>
      <c r="CD163" s="115"/>
      <c r="CE163" s="115"/>
      <c r="CF163" s="115"/>
    </row>
    <row r="164" spans="1:84">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c r="CB164" s="115"/>
      <c r="CC164" s="115"/>
      <c r="CD164" s="115"/>
      <c r="CE164" s="115"/>
      <c r="CF164" s="115"/>
    </row>
    <row r="165" spans="1:84">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15"/>
      <c r="CD165" s="115"/>
      <c r="CE165" s="115"/>
      <c r="CF165" s="115"/>
    </row>
    <row r="166" spans="1:84">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c r="BZ166" s="115"/>
      <c r="CA166" s="115"/>
      <c r="CB166" s="115"/>
      <c r="CC166" s="115"/>
      <c r="CD166" s="115"/>
      <c r="CE166" s="115"/>
      <c r="CF166" s="115"/>
    </row>
    <row r="167" spans="1:84">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c r="CB167" s="115"/>
      <c r="CC167" s="115"/>
      <c r="CD167" s="115"/>
      <c r="CE167" s="115"/>
      <c r="CF167" s="115"/>
    </row>
    <row r="168" spans="1:84">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c r="CB168" s="115"/>
      <c r="CC168" s="115"/>
      <c r="CD168" s="115"/>
      <c r="CE168" s="115"/>
      <c r="CF168" s="115"/>
    </row>
    <row r="169" spans="1:84">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c r="CB169" s="115"/>
      <c r="CC169" s="115"/>
      <c r="CD169" s="115"/>
      <c r="CE169" s="115"/>
      <c r="CF169" s="115"/>
    </row>
    <row r="170" spans="1:84">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row>
    <row r="171" spans="1:84">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c r="BZ171" s="115"/>
      <c r="CA171" s="115"/>
      <c r="CB171" s="115"/>
      <c r="CC171" s="115"/>
      <c r="CD171" s="115"/>
      <c r="CE171" s="115"/>
      <c r="CF171" s="115"/>
    </row>
    <row r="172" spans="1:84">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c r="CC172" s="115"/>
      <c r="CD172" s="115"/>
      <c r="CE172" s="115"/>
      <c r="CF172" s="115"/>
    </row>
    <row r="173" spans="1:84">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15"/>
      <c r="CD173" s="115"/>
      <c r="CE173" s="115"/>
      <c r="CF173" s="115"/>
    </row>
    <row r="174" spans="1:84">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row>
    <row r="175" spans="1:84">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c r="CC175" s="115"/>
      <c r="CD175" s="115"/>
      <c r="CE175" s="115"/>
      <c r="CF175" s="115"/>
    </row>
    <row r="176" spans="1:84">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15"/>
      <c r="CD176" s="115"/>
      <c r="CE176" s="115"/>
      <c r="CF176" s="115"/>
    </row>
    <row r="177" spans="1:84">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row>
    <row r="178" spans="1:84">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row>
    <row r="179" spans="1:84">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row>
    <row r="180" spans="1:84">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row>
    <row r="181" spans="1:84">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row>
    <row r="182" spans="1:84">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row>
    <row r="183" spans="1:84">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15"/>
      <c r="CD183" s="115"/>
      <c r="CE183" s="115"/>
      <c r="CF183" s="115"/>
    </row>
    <row r="184" spans="1:84">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c r="CB184" s="115"/>
      <c r="CC184" s="115"/>
      <c r="CD184" s="115"/>
      <c r="CE184" s="115"/>
      <c r="CF184" s="115"/>
    </row>
    <row r="185" spans="1:84">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row>
    <row r="186" spans="1:84">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c r="CC186" s="115"/>
      <c r="CD186" s="115"/>
      <c r="CE186" s="115"/>
      <c r="CF186" s="115"/>
    </row>
    <row r="187" spans="1:84">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15"/>
      <c r="CD187" s="115"/>
      <c r="CE187" s="115"/>
      <c r="CF187" s="115"/>
    </row>
    <row r="188" spans="1:84">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c r="CC188" s="115"/>
      <c r="CD188" s="115"/>
      <c r="CE188" s="115"/>
      <c r="CF188" s="115"/>
    </row>
    <row r="189" spans="1:84">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15"/>
      <c r="CD189" s="115"/>
      <c r="CE189" s="115"/>
      <c r="CF189" s="115"/>
    </row>
    <row r="190" spans="1:84">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c r="CB190" s="115"/>
      <c r="CC190" s="115"/>
      <c r="CD190" s="115"/>
      <c r="CE190" s="115"/>
      <c r="CF190" s="115"/>
    </row>
    <row r="191" spans="1:84">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c r="CB191" s="115"/>
      <c r="CC191" s="115"/>
      <c r="CD191" s="115"/>
      <c r="CE191" s="115"/>
      <c r="CF191" s="115"/>
    </row>
    <row r="192" spans="1:84">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c r="CB192" s="115"/>
      <c r="CC192" s="115"/>
      <c r="CD192" s="115"/>
      <c r="CE192" s="115"/>
      <c r="CF192" s="115"/>
    </row>
    <row r="193" spans="1:84">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c r="CC193" s="115"/>
      <c r="CD193" s="115"/>
      <c r="CE193" s="115"/>
      <c r="CF193" s="115"/>
    </row>
    <row r="194" spans="1:84">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c r="CC194" s="115"/>
      <c r="CD194" s="115"/>
      <c r="CE194" s="115"/>
      <c r="CF194" s="115"/>
    </row>
    <row r="195" spans="1:84">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15"/>
      <c r="CD195" s="115"/>
      <c r="CE195" s="115"/>
      <c r="CF195" s="115"/>
    </row>
    <row r="196" spans="1:84">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15"/>
      <c r="CD196" s="115"/>
      <c r="CE196" s="115"/>
      <c r="CF196" s="115"/>
    </row>
    <row r="197" spans="1:84">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15"/>
      <c r="CD197" s="115"/>
      <c r="CE197" s="115"/>
      <c r="CF197" s="115"/>
    </row>
    <row r="198" spans="1:84">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row>
    <row r="199" spans="1:84">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c r="BZ199" s="115"/>
      <c r="CA199" s="115"/>
      <c r="CB199" s="115"/>
      <c r="CC199" s="115"/>
      <c r="CD199" s="115"/>
      <c r="CE199" s="115"/>
      <c r="CF199" s="115"/>
    </row>
    <row r="200" spans="1:84">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row>
    <row r="201" spans="1:84">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row>
    <row r="202" spans="1:84">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15"/>
      <c r="CD202" s="115"/>
      <c r="CE202" s="115"/>
      <c r="CF202" s="115"/>
    </row>
    <row r="203" spans="1:84">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c r="CC203" s="115"/>
      <c r="CD203" s="115"/>
      <c r="CE203" s="115"/>
      <c r="CF203" s="115"/>
    </row>
    <row r="204" spans="1:84">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c r="BZ204" s="115"/>
      <c r="CA204" s="115"/>
      <c r="CB204" s="115"/>
      <c r="CC204" s="115"/>
      <c r="CD204" s="115"/>
      <c r="CE204" s="115"/>
      <c r="CF204" s="115"/>
    </row>
    <row r="205" spans="1:84">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c r="CB205" s="115"/>
      <c r="CC205" s="115"/>
      <c r="CD205" s="115"/>
      <c r="CE205" s="115"/>
      <c r="CF205" s="115"/>
    </row>
    <row r="206" spans="1:84">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c r="CB206" s="115"/>
      <c r="CC206" s="115"/>
      <c r="CD206" s="115"/>
      <c r="CE206" s="115"/>
      <c r="CF206" s="115"/>
    </row>
    <row r="207" spans="1:84">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c r="CC207" s="115"/>
      <c r="CD207" s="115"/>
      <c r="CE207" s="115"/>
      <c r="CF207" s="115"/>
    </row>
    <row r="208" spans="1:84">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c r="CB208" s="115"/>
      <c r="CC208" s="115"/>
      <c r="CD208" s="115"/>
      <c r="CE208" s="115"/>
      <c r="CF208" s="115"/>
    </row>
    <row r="209" spans="1:84">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c r="CC209" s="115"/>
      <c r="CD209" s="115"/>
      <c r="CE209" s="115"/>
      <c r="CF209" s="115"/>
    </row>
    <row r="210" spans="1:84">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row>
    <row r="211" spans="1:84">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c r="CB211" s="115"/>
      <c r="CC211" s="115"/>
      <c r="CD211" s="115"/>
      <c r="CE211" s="115"/>
      <c r="CF211" s="115"/>
    </row>
    <row r="212" spans="1:84">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15"/>
      <c r="CD212" s="115"/>
      <c r="CE212" s="115"/>
      <c r="CF212" s="115"/>
    </row>
    <row r="213" spans="1:84">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row>
    <row r="214" spans="1:84">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c r="CC214" s="115"/>
      <c r="CD214" s="115"/>
      <c r="CE214" s="115"/>
      <c r="CF214" s="115"/>
    </row>
    <row r="215" spans="1:84">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c r="CB215" s="115"/>
      <c r="CC215" s="115"/>
      <c r="CD215" s="115"/>
      <c r="CE215" s="115"/>
      <c r="CF215" s="115"/>
    </row>
    <row r="216" spans="1:84">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c r="CB216" s="115"/>
      <c r="CC216" s="115"/>
      <c r="CD216" s="115"/>
      <c r="CE216" s="115"/>
      <c r="CF216" s="115"/>
    </row>
    <row r="217" spans="1:84">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row>
    <row r="218" spans="1:84">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c r="CB218" s="115"/>
      <c r="CC218" s="115"/>
      <c r="CD218" s="115"/>
      <c r="CE218" s="115"/>
      <c r="CF218" s="115"/>
    </row>
    <row r="219" spans="1:84">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c r="CC219" s="115"/>
      <c r="CD219" s="115"/>
      <c r="CE219" s="115"/>
      <c r="CF219" s="115"/>
    </row>
    <row r="220" spans="1:84">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c r="CB220" s="115"/>
      <c r="CC220" s="115"/>
      <c r="CD220" s="115"/>
      <c r="CE220" s="115"/>
      <c r="CF220" s="115"/>
    </row>
    <row r="221" spans="1:84">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c r="CC221" s="115"/>
      <c r="CD221" s="115"/>
      <c r="CE221" s="115"/>
      <c r="CF221" s="115"/>
    </row>
    <row r="222" spans="1:84">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c r="CC222" s="115"/>
      <c r="CD222" s="115"/>
      <c r="CE222" s="115"/>
      <c r="CF222" s="115"/>
    </row>
    <row r="223" spans="1:84">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c r="BZ223" s="115"/>
      <c r="CA223" s="115"/>
      <c r="CB223" s="115"/>
      <c r="CC223" s="115"/>
      <c r="CD223" s="115"/>
      <c r="CE223" s="115"/>
      <c r="CF223" s="115"/>
    </row>
    <row r="224" spans="1:84">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c r="CB224" s="115"/>
      <c r="CC224" s="115"/>
      <c r="CD224" s="115"/>
      <c r="CE224" s="115"/>
      <c r="CF224" s="115"/>
    </row>
    <row r="225" spans="1:84">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c r="CB225" s="115"/>
      <c r="CC225" s="115"/>
      <c r="CD225" s="115"/>
      <c r="CE225" s="115"/>
      <c r="CF225" s="115"/>
    </row>
    <row r="226" spans="1:84">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c r="CC226" s="115"/>
      <c r="CD226" s="115"/>
      <c r="CE226" s="115"/>
      <c r="CF226" s="115"/>
    </row>
    <row r="227" spans="1:84">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c r="CC227" s="115"/>
      <c r="CD227" s="115"/>
      <c r="CE227" s="115"/>
      <c r="CF227" s="115"/>
    </row>
    <row r="228" spans="1:84">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c r="CC228" s="115"/>
      <c r="CD228" s="115"/>
      <c r="CE228" s="115"/>
      <c r="CF228" s="115"/>
    </row>
    <row r="229" spans="1:84">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c r="CB229" s="115"/>
      <c r="CC229" s="115"/>
      <c r="CD229" s="115"/>
      <c r="CE229" s="115"/>
      <c r="CF229" s="115"/>
    </row>
    <row r="230" spans="1:84">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c r="CC230" s="115"/>
      <c r="CD230" s="115"/>
      <c r="CE230" s="115"/>
      <c r="CF230" s="115"/>
    </row>
    <row r="231" spans="1:84">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c r="CC231" s="115"/>
      <c r="CD231" s="115"/>
      <c r="CE231" s="115"/>
      <c r="CF231" s="115"/>
    </row>
    <row r="232" spans="1:84">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row>
    <row r="233" spans="1:84">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15"/>
      <c r="CD233" s="115"/>
      <c r="CE233" s="115"/>
      <c r="CF233" s="115"/>
    </row>
    <row r="234" spans="1:84">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c r="CC234" s="115"/>
      <c r="CD234" s="115"/>
      <c r="CE234" s="115"/>
      <c r="CF234" s="115"/>
    </row>
    <row r="235" spans="1:84">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row>
    <row r="236" spans="1:84">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c r="CB236" s="115"/>
      <c r="CC236" s="115"/>
      <c r="CD236" s="115"/>
      <c r="CE236" s="115"/>
      <c r="CF236" s="115"/>
    </row>
    <row r="237" spans="1:84">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c r="CC237" s="115"/>
      <c r="CD237" s="115"/>
      <c r="CE237" s="115"/>
      <c r="CF237" s="115"/>
    </row>
    <row r="238" spans="1:84">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c r="CC238" s="115"/>
      <c r="CD238" s="115"/>
      <c r="CE238" s="115"/>
      <c r="CF238" s="115"/>
    </row>
    <row r="239" spans="1:84">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c r="CC239" s="115"/>
      <c r="CD239" s="115"/>
      <c r="CE239" s="115"/>
      <c r="CF239" s="115"/>
    </row>
    <row r="240" spans="1:84">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row>
    <row r="241" spans="1:84">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c r="CC241" s="115"/>
      <c r="CD241" s="115"/>
      <c r="CE241" s="115"/>
      <c r="CF241" s="115"/>
    </row>
    <row r="242" spans="1:84">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c r="CC242" s="115"/>
      <c r="CD242" s="115"/>
      <c r="CE242" s="115"/>
      <c r="CF242" s="115"/>
    </row>
    <row r="243" spans="1:84">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15"/>
      <c r="CD243" s="115"/>
      <c r="CE243" s="115"/>
      <c r="CF243" s="115"/>
    </row>
    <row r="244" spans="1:84">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15"/>
      <c r="CD244" s="115"/>
      <c r="CE244" s="115"/>
      <c r="CF244" s="115"/>
    </row>
    <row r="245" spans="1:84">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c r="CC245" s="115"/>
      <c r="CD245" s="115"/>
      <c r="CE245" s="115"/>
      <c r="CF245" s="115"/>
    </row>
    <row r="246" spans="1:84">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c r="CB246" s="115"/>
      <c r="CC246" s="115"/>
      <c r="CD246" s="115"/>
      <c r="CE246" s="115"/>
      <c r="CF246" s="115"/>
    </row>
    <row r="247" spans="1:84">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c r="CC247" s="115"/>
      <c r="CD247" s="115"/>
      <c r="CE247" s="115"/>
      <c r="CF247" s="115"/>
    </row>
    <row r="248" spans="1:84">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row>
    <row r="249" spans="1:84">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row>
    <row r="250" spans="1:84">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row>
    <row r="251" spans="1:84">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15"/>
      <c r="CD251" s="115"/>
      <c r="CE251" s="115"/>
      <c r="CF251" s="115"/>
    </row>
    <row r="252" spans="1:84">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15"/>
      <c r="CD252" s="115"/>
      <c r="CE252" s="115"/>
      <c r="CF252" s="115"/>
    </row>
    <row r="253" spans="1:84">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row>
    <row r="254" spans="1:84">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row>
    <row r="255" spans="1:84">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c r="CB255" s="115"/>
      <c r="CC255" s="115"/>
      <c r="CD255" s="115"/>
      <c r="CE255" s="115"/>
      <c r="CF255" s="115"/>
    </row>
    <row r="256" spans="1:84">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15"/>
      <c r="CD256" s="115"/>
      <c r="CE256" s="115"/>
      <c r="CF256" s="115"/>
    </row>
    <row r="257" spans="1:84">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c r="CC257" s="115"/>
      <c r="CD257" s="115"/>
      <c r="CE257" s="115"/>
      <c r="CF257" s="115"/>
    </row>
    <row r="258" spans="1:84">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15"/>
      <c r="CD258" s="115"/>
      <c r="CE258" s="115"/>
      <c r="CF258" s="115"/>
    </row>
    <row r="259" spans="1:84">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15"/>
      <c r="CD259" s="115"/>
      <c r="CE259" s="115"/>
      <c r="CF259" s="115"/>
    </row>
    <row r="260" spans="1:84">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c r="CC260" s="115"/>
      <c r="CD260" s="115"/>
      <c r="CE260" s="115"/>
      <c r="CF260" s="115"/>
    </row>
    <row r="261" spans="1:84">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row>
    <row r="262" spans="1:84">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c r="CC262" s="115"/>
      <c r="CD262" s="115"/>
      <c r="CE262" s="115"/>
      <c r="CF262" s="115"/>
    </row>
    <row r="263" spans="1:84">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c r="CC263" s="115"/>
      <c r="CD263" s="115"/>
      <c r="CE263" s="115"/>
      <c r="CF263" s="115"/>
    </row>
    <row r="264" spans="1:84">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row>
    <row r="265" spans="1:84">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row>
    <row r="266" spans="1:84">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c r="CB266" s="115"/>
      <c r="CC266" s="115"/>
      <c r="CD266" s="115"/>
      <c r="CE266" s="115"/>
      <c r="CF266" s="115"/>
    </row>
    <row r="267" spans="1:84">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c r="CB267" s="115"/>
      <c r="CC267" s="115"/>
      <c r="CD267" s="115"/>
      <c r="CE267" s="115"/>
      <c r="CF267" s="115"/>
    </row>
    <row r="268" spans="1:84">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c r="BZ268" s="115"/>
      <c r="CA268" s="115"/>
      <c r="CB268" s="115"/>
      <c r="CC268" s="115"/>
      <c r="CD268" s="115"/>
      <c r="CE268" s="115"/>
      <c r="CF268" s="115"/>
    </row>
    <row r="269" spans="1:84">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c r="BZ269" s="115"/>
      <c r="CA269" s="115"/>
      <c r="CB269" s="115"/>
      <c r="CC269" s="115"/>
      <c r="CD269" s="115"/>
      <c r="CE269" s="115"/>
      <c r="CF269" s="115"/>
    </row>
    <row r="270" spans="1:84">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c r="CB270" s="115"/>
      <c r="CC270" s="115"/>
      <c r="CD270" s="115"/>
      <c r="CE270" s="115"/>
      <c r="CF270" s="115"/>
    </row>
    <row r="271" spans="1:84">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115"/>
      <c r="CA271" s="115"/>
      <c r="CB271" s="115"/>
      <c r="CC271" s="115"/>
      <c r="CD271" s="115"/>
      <c r="CE271" s="115"/>
      <c r="CF271" s="115"/>
    </row>
    <row r="272" spans="1:84">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115"/>
      <c r="CA272" s="115"/>
      <c r="CB272" s="115"/>
      <c r="CC272" s="115"/>
      <c r="CD272" s="115"/>
      <c r="CE272" s="115"/>
      <c r="CF272" s="115"/>
    </row>
    <row r="273" spans="1:84">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c r="CB273" s="115"/>
      <c r="CC273" s="115"/>
      <c r="CD273" s="115"/>
      <c r="CE273" s="115"/>
      <c r="CF273" s="115"/>
    </row>
    <row r="274" spans="1:84">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115"/>
      <c r="CA274" s="115"/>
      <c r="CB274" s="115"/>
      <c r="CC274" s="115"/>
      <c r="CD274" s="115"/>
      <c r="CE274" s="115"/>
      <c r="CF274" s="115"/>
    </row>
    <row r="275" spans="1:84">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c r="CB275" s="115"/>
      <c r="CC275" s="115"/>
      <c r="CD275" s="115"/>
      <c r="CE275" s="115"/>
      <c r="CF275" s="115"/>
    </row>
    <row r="276" spans="1:84">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115"/>
      <c r="CB276" s="115"/>
      <c r="CC276" s="115"/>
      <c r="CD276" s="115"/>
      <c r="CE276" s="115"/>
      <c r="CF276" s="115"/>
    </row>
    <row r="277" spans="1:84">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c r="CB277" s="115"/>
      <c r="CC277" s="115"/>
      <c r="CD277" s="115"/>
      <c r="CE277" s="115"/>
      <c r="CF277" s="115"/>
    </row>
    <row r="278" spans="1:84">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c r="CB278" s="115"/>
      <c r="CC278" s="115"/>
      <c r="CD278" s="115"/>
      <c r="CE278" s="115"/>
      <c r="CF278" s="115"/>
    </row>
    <row r="279" spans="1:84">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115"/>
      <c r="CB279" s="115"/>
      <c r="CC279" s="115"/>
      <c r="CD279" s="115"/>
      <c r="CE279" s="115"/>
      <c r="CF279" s="115"/>
    </row>
    <row r="280" spans="1:84">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c r="CB280" s="115"/>
      <c r="CC280" s="115"/>
      <c r="CD280" s="115"/>
      <c r="CE280" s="115"/>
      <c r="CF280" s="115"/>
    </row>
    <row r="281" spans="1:84">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c r="CB281" s="115"/>
      <c r="CC281" s="115"/>
      <c r="CD281" s="115"/>
      <c r="CE281" s="115"/>
      <c r="CF281" s="115"/>
    </row>
    <row r="282" spans="1:84">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c r="CB282" s="115"/>
      <c r="CC282" s="115"/>
      <c r="CD282" s="115"/>
      <c r="CE282" s="115"/>
      <c r="CF282" s="115"/>
    </row>
    <row r="283" spans="1:84">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c r="CA283" s="115"/>
      <c r="CB283" s="115"/>
      <c r="CC283" s="115"/>
      <c r="CD283" s="115"/>
      <c r="CE283" s="115"/>
      <c r="CF283" s="115"/>
    </row>
    <row r="284" spans="1:84">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c r="BZ284" s="115"/>
      <c r="CA284" s="115"/>
      <c r="CB284" s="115"/>
      <c r="CC284" s="115"/>
      <c r="CD284" s="115"/>
      <c r="CE284" s="115"/>
      <c r="CF284" s="115"/>
    </row>
    <row r="285" spans="1:84">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c r="BZ285" s="115"/>
      <c r="CA285" s="115"/>
      <c r="CB285" s="115"/>
      <c r="CC285" s="115"/>
      <c r="CD285" s="115"/>
      <c r="CE285" s="115"/>
      <c r="CF285" s="115"/>
    </row>
    <row r="286" spans="1:84">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c r="BZ286" s="115"/>
      <c r="CA286" s="115"/>
      <c r="CB286" s="115"/>
      <c r="CC286" s="115"/>
      <c r="CD286" s="115"/>
      <c r="CE286" s="115"/>
      <c r="CF286" s="115"/>
    </row>
    <row r="287" spans="1:84">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c r="BZ287" s="115"/>
      <c r="CA287" s="115"/>
      <c r="CB287" s="115"/>
      <c r="CC287" s="115"/>
      <c r="CD287" s="115"/>
      <c r="CE287" s="115"/>
      <c r="CF287" s="115"/>
    </row>
    <row r="288" spans="1:84">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c r="BZ288" s="115"/>
      <c r="CA288" s="115"/>
      <c r="CB288" s="115"/>
      <c r="CC288" s="115"/>
      <c r="CD288" s="115"/>
      <c r="CE288" s="115"/>
      <c r="CF288" s="115"/>
    </row>
    <row r="289" spans="1:84">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c r="BZ289" s="115"/>
      <c r="CA289" s="115"/>
      <c r="CB289" s="115"/>
      <c r="CC289" s="115"/>
      <c r="CD289" s="115"/>
      <c r="CE289" s="115"/>
      <c r="CF289" s="115"/>
    </row>
    <row r="290" spans="1:84">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c r="BZ290" s="115"/>
      <c r="CA290" s="115"/>
      <c r="CB290" s="115"/>
      <c r="CC290" s="115"/>
      <c r="CD290" s="115"/>
      <c r="CE290" s="115"/>
      <c r="CF290" s="115"/>
    </row>
    <row r="291" spans="1:84">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c r="BZ291" s="115"/>
      <c r="CA291" s="115"/>
      <c r="CB291" s="115"/>
      <c r="CC291" s="115"/>
      <c r="CD291" s="115"/>
      <c r="CE291" s="115"/>
      <c r="CF291" s="115"/>
    </row>
    <row r="292" spans="1:84">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c r="BZ292" s="115"/>
      <c r="CA292" s="115"/>
      <c r="CB292" s="115"/>
      <c r="CC292" s="115"/>
      <c r="CD292" s="115"/>
      <c r="CE292" s="115"/>
      <c r="CF292" s="115"/>
    </row>
    <row r="293" spans="1:84">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c r="BZ293" s="115"/>
      <c r="CA293" s="115"/>
      <c r="CB293" s="115"/>
      <c r="CC293" s="115"/>
      <c r="CD293" s="115"/>
      <c r="CE293" s="115"/>
      <c r="CF293" s="115"/>
    </row>
    <row r="294" spans="1:84">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c r="BZ294" s="115"/>
      <c r="CA294" s="115"/>
      <c r="CB294" s="115"/>
      <c r="CC294" s="115"/>
      <c r="CD294" s="115"/>
      <c r="CE294" s="115"/>
      <c r="CF294" s="115"/>
    </row>
    <row r="295" spans="1:84">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c r="BZ295" s="115"/>
      <c r="CA295" s="115"/>
      <c r="CB295" s="115"/>
      <c r="CC295" s="115"/>
      <c r="CD295" s="115"/>
      <c r="CE295" s="115"/>
      <c r="CF295" s="115"/>
    </row>
    <row r="296" spans="1:84">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c r="BZ296" s="115"/>
      <c r="CA296" s="115"/>
      <c r="CB296" s="115"/>
      <c r="CC296" s="115"/>
      <c r="CD296" s="115"/>
      <c r="CE296" s="115"/>
      <c r="CF296" s="115"/>
    </row>
    <row r="297" spans="1:84">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c r="BZ297" s="115"/>
      <c r="CA297" s="115"/>
      <c r="CB297" s="115"/>
      <c r="CC297" s="115"/>
      <c r="CD297" s="115"/>
      <c r="CE297" s="115"/>
      <c r="CF297" s="115"/>
    </row>
    <row r="298" spans="1:84">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c r="BZ298" s="115"/>
      <c r="CA298" s="115"/>
      <c r="CB298" s="115"/>
      <c r="CC298" s="115"/>
      <c r="CD298" s="115"/>
      <c r="CE298" s="115"/>
      <c r="CF298" s="115"/>
    </row>
    <row r="299" spans="1:84">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c r="CB299" s="115"/>
      <c r="CC299" s="115"/>
      <c r="CD299" s="115"/>
      <c r="CE299" s="115"/>
      <c r="CF299" s="115"/>
    </row>
    <row r="300" spans="1:84">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c r="BZ300" s="115"/>
      <c r="CA300" s="115"/>
      <c r="CB300" s="115"/>
      <c r="CC300" s="115"/>
      <c r="CD300" s="115"/>
      <c r="CE300" s="115"/>
      <c r="CF300" s="115"/>
    </row>
    <row r="301" spans="1:84">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115"/>
      <c r="CB301" s="115"/>
      <c r="CC301" s="115"/>
      <c r="CD301" s="115"/>
      <c r="CE301" s="115"/>
      <c r="CF301" s="115"/>
    </row>
    <row r="302" spans="1:84">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c r="BZ302" s="115"/>
      <c r="CA302" s="115"/>
      <c r="CB302" s="115"/>
      <c r="CC302" s="115"/>
      <c r="CD302" s="115"/>
      <c r="CE302" s="115"/>
      <c r="CF302" s="115"/>
    </row>
    <row r="303" spans="1:84">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c r="BZ303" s="115"/>
      <c r="CA303" s="115"/>
      <c r="CB303" s="115"/>
      <c r="CC303" s="115"/>
      <c r="CD303" s="115"/>
      <c r="CE303" s="115"/>
      <c r="CF303" s="115"/>
    </row>
    <row r="304" spans="1:84">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c r="CB304" s="115"/>
      <c r="CC304" s="115"/>
      <c r="CD304" s="115"/>
      <c r="CE304" s="115"/>
      <c r="CF304" s="115"/>
    </row>
    <row r="305" spans="1:84">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c r="BZ305" s="115"/>
      <c r="CA305" s="115"/>
      <c r="CB305" s="115"/>
      <c r="CC305" s="115"/>
      <c r="CD305" s="115"/>
      <c r="CE305" s="115"/>
      <c r="CF305" s="115"/>
    </row>
    <row r="306" spans="1:84">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c r="BZ306" s="115"/>
      <c r="CA306" s="115"/>
      <c r="CB306" s="115"/>
      <c r="CC306" s="115"/>
      <c r="CD306" s="115"/>
      <c r="CE306" s="115"/>
      <c r="CF306" s="115"/>
    </row>
    <row r="307" spans="1:84">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c r="BZ307" s="115"/>
      <c r="CA307" s="115"/>
      <c r="CB307" s="115"/>
      <c r="CC307" s="115"/>
      <c r="CD307" s="115"/>
      <c r="CE307" s="115"/>
      <c r="CF307" s="115"/>
    </row>
    <row r="308" spans="1:84">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c r="BZ308" s="115"/>
      <c r="CA308" s="115"/>
      <c r="CB308" s="115"/>
      <c r="CC308" s="115"/>
      <c r="CD308" s="115"/>
      <c r="CE308" s="115"/>
      <c r="CF308" s="115"/>
    </row>
    <row r="309" spans="1:84">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c r="BZ309" s="115"/>
      <c r="CA309" s="115"/>
      <c r="CB309" s="115"/>
      <c r="CC309" s="115"/>
      <c r="CD309" s="115"/>
      <c r="CE309" s="115"/>
      <c r="CF309" s="115"/>
    </row>
    <row r="310" spans="1:84">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c r="BZ310" s="115"/>
      <c r="CA310" s="115"/>
      <c r="CB310" s="115"/>
      <c r="CC310" s="115"/>
      <c r="CD310" s="115"/>
      <c r="CE310" s="115"/>
      <c r="CF310" s="115"/>
    </row>
    <row r="311" spans="1:84">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c r="BZ311" s="115"/>
      <c r="CA311" s="115"/>
      <c r="CB311" s="115"/>
      <c r="CC311" s="115"/>
      <c r="CD311" s="115"/>
      <c r="CE311" s="115"/>
      <c r="CF311" s="115"/>
    </row>
    <row r="312" spans="1:84">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c r="CA312" s="115"/>
      <c r="CB312" s="115"/>
      <c r="CC312" s="115"/>
      <c r="CD312" s="115"/>
      <c r="CE312" s="115"/>
      <c r="CF312" s="115"/>
    </row>
    <row r="313" spans="1:84">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c r="BZ313" s="115"/>
      <c r="CA313" s="115"/>
      <c r="CB313" s="115"/>
      <c r="CC313" s="115"/>
      <c r="CD313" s="115"/>
      <c r="CE313" s="115"/>
      <c r="CF313" s="115"/>
    </row>
    <row r="314" spans="1:84">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c r="BZ314" s="115"/>
      <c r="CA314" s="115"/>
      <c r="CB314" s="115"/>
      <c r="CC314" s="115"/>
      <c r="CD314" s="115"/>
      <c r="CE314" s="115"/>
      <c r="CF314" s="115"/>
    </row>
    <row r="315" spans="1:84">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c r="BZ315" s="115"/>
      <c r="CA315" s="115"/>
      <c r="CB315" s="115"/>
      <c r="CC315" s="115"/>
      <c r="CD315" s="115"/>
      <c r="CE315" s="115"/>
      <c r="CF315" s="115"/>
    </row>
    <row r="316" spans="1:84">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c r="CA316" s="115"/>
      <c r="CB316" s="115"/>
      <c r="CC316" s="115"/>
      <c r="CD316" s="115"/>
      <c r="CE316" s="115"/>
      <c r="CF316" s="115"/>
    </row>
    <row r="317" spans="1:84">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c r="BZ317" s="115"/>
      <c r="CA317" s="115"/>
      <c r="CB317" s="115"/>
      <c r="CC317" s="115"/>
      <c r="CD317" s="115"/>
      <c r="CE317" s="115"/>
      <c r="CF317" s="115"/>
    </row>
    <row r="318" spans="1:84">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c r="CB318" s="115"/>
      <c r="CC318" s="115"/>
      <c r="CD318" s="115"/>
      <c r="CE318" s="115"/>
      <c r="CF318" s="115"/>
    </row>
    <row r="319" spans="1:84">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c r="BZ319" s="115"/>
      <c r="CA319" s="115"/>
      <c r="CB319" s="115"/>
      <c r="CC319" s="115"/>
      <c r="CD319" s="115"/>
      <c r="CE319" s="115"/>
      <c r="CF319" s="115"/>
    </row>
    <row r="320" spans="1:84">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c r="BZ320" s="115"/>
      <c r="CA320" s="115"/>
      <c r="CB320" s="115"/>
      <c r="CC320" s="115"/>
      <c r="CD320" s="115"/>
      <c r="CE320" s="115"/>
      <c r="CF320" s="115"/>
    </row>
    <row r="321" spans="1:84">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c r="BZ321" s="115"/>
      <c r="CA321" s="115"/>
      <c r="CB321" s="115"/>
      <c r="CC321" s="115"/>
      <c r="CD321" s="115"/>
      <c r="CE321" s="115"/>
      <c r="CF321" s="115"/>
    </row>
    <row r="322" spans="1:84">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c r="BZ322" s="115"/>
      <c r="CA322" s="115"/>
      <c r="CB322" s="115"/>
      <c r="CC322" s="115"/>
      <c r="CD322" s="115"/>
      <c r="CE322" s="115"/>
      <c r="CF322" s="115"/>
    </row>
    <row r="323" spans="1:84">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c r="BZ323" s="115"/>
      <c r="CA323" s="115"/>
      <c r="CB323" s="115"/>
      <c r="CC323" s="115"/>
      <c r="CD323" s="115"/>
      <c r="CE323" s="115"/>
      <c r="CF323" s="115"/>
    </row>
    <row r="324" spans="1:84">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c r="BZ324" s="115"/>
      <c r="CA324" s="115"/>
      <c r="CB324" s="115"/>
      <c r="CC324" s="115"/>
      <c r="CD324" s="115"/>
      <c r="CE324" s="115"/>
      <c r="CF324" s="115"/>
    </row>
    <row r="325" spans="1:84">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c r="BY325" s="115"/>
      <c r="BZ325" s="115"/>
      <c r="CA325" s="115"/>
      <c r="CB325" s="115"/>
      <c r="CC325" s="115"/>
      <c r="CD325" s="115"/>
      <c r="CE325" s="115"/>
      <c r="CF325" s="115"/>
    </row>
    <row r="326" spans="1:84">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c r="BY326" s="115"/>
      <c r="BZ326" s="115"/>
      <c r="CA326" s="115"/>
      <c r="CB326" s="115"/>
      <c r="CC326" s="115"/>
      <c r="CD326" s="115"/>
      <c r="CE326" s="115"/>
      <c r="CF326" s="115"/>
    </row>
    <row r="327" spans="1:84">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c r="BY327" s="115"/>
      <c r="BZ327" s="115"/>
      <c r="CA327" s="115"/>
      <c r="CB327" s="115"/>
      <c r="CC327" s="115"/>
      <c r="CD327" s="115"/>
      <c r="CE327" s="115"/>
      <c r="CF327" s="115"/>
    </row>
    <row r="328" spans="1:84">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c r="BY328" s="115"/>
      <c r="BZ328" s="115"/>
      <c r="CA328" s="115"/>
      <c r="CB328" s="115"/>
      <c r="CC328" s="115"/>
      <c r="CD328" s="115"/>
      <c r="CE328" s="115"/>
      <c r="CF328" s="115"/>
    </row>
    <row r="329" spans="1:84">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c r="BY329" s="115"/>
      <c r="BZ329" s="115"/>
      <c r="CA329" s="115"/>
      <c r="CB329" s="115"/>
      <c r="CC329" s="115"/>
      <c r="CD329" s="115"/>
      <c r="CE329" s="115"/>
      <c r="CF329" s="115"/>
    </row>
    <row r="330" spans="1:84">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c r="BY330" s="115"/>
      <c r="BZ330" s="115"/>
      <c r="CA330" s="115"/>
      <c r="CB330" s="115"/>
      <c r="CC330" s="115"/>
      <c r="CD330" s="115"/>
      <c r="CE330" s="115"/>
      <c r="CF330" s="115"/>
    </row>
    <row r="331" spans="1:84">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c r="BY331" s="115"/>
      <c r="BZ331" s="115"/>
      <c r="CA331" s="115"/>
      <c r="CB331" s="115"/>
      <c r="CC331" s="115"/>
      <c r="CD331" s="115"/>
      <c r="CE331" s="115"/>
      <c r="CF331" s="115"/>
    </row>
    <row r="332" spans="1:84">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c r="BY332" s="115"/>
      <c r="BZ332" s="115"/>
      <c r="CA332" s="115"/>
      <c r="CB332" s="115"/>
      <c r="CC332" s="115"/>
      <c r="CD332" s="115"/>
      <c r="CE332" s="115"/>
      <c r="CF332" s="115"/>
    </row>
    <row r="333" spans="1:84">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c r="BY333" s="115"/>
      <c r="BZ333" s="115"/>
      <c r="CA333" s="115"/>
      <c r="CB333" s="115"/>
      <c r="CC333" s="115"/>
      <c r="CD333" s="115"/>
      <c r="CE333" s="115"/>
      <c r="CF333" s="115"/>
    </row>
    <row r="334" spans="1:84">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c r="CA334" s="115"/>
      <c r="CB334" s="115"/>
      <c r="CC334" s="115"/>
      <c r="CD334" s="115"/>
      <c r="CE334" s="115"/>
      <c r="CF334" s="115"/>
    </row>
    <row r="335" spans="1:84">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c r="BY335" s="115"/>
      <c r="BZ335" s="115"/>
      <c r="CA335" s="115"/>
      <c r="CB335" s="115"/>
      <c r="CC335" s="115"/>
      <c r="CD335" s="115"/>
      <c r="CE335" s="115"/>
      <c r="CF335" s="115"/>
    </row>
    <row r="336" spans="1:84">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c r="BY336" s="115"/>
      <c r="BZ336" s="115"/>
      <c r="CA336" s="115"/>
      <c r="CB336" s="115"/>
      <c r="CC336" s="115"/>
      <c r="CD336" s="115"/>
      <c r="CE336" s="115"/>
      <c r="CF336" s="115"/>
    </row>
    <row r="337" spans="1:84">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c r="BY337" s="115"/>
      <c r="BZ337" s="115"/>
      <c r="CA337" s="115"/>
      <c r="CB337" s="115"/>
      <c r="CC337" s="115"/>
      <c r="CD337" s="115"/>
      <c r="CE337" s="115"/>
      <c r="CF337" s="115"/>
    </row>
    <row r="338" spans="1:84">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c r="BY338" s="115"/>
      <c r="BZ338" s="115"/>
      <c r="CA338" s="115"/>
      <c r="CB338" s="115"/>
      <c r="CC338" s="115"/>
      <c r="CD338" s="115"/>
      <c r="CE338" s="115"/>
      <c r="CF338" s="115"/>
    </row>
    <row r="339" spans="1:84">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115"/>
      <c r="CB339" s="115"/>
      <c r="CC339" s="115"/>
      <c r="CD339" s="115"/>
      <c r="CE339" s="115"/>
      <c r="CF339" s="115"/>
    </row>
    <row r="340" spans="1:84">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c r="BY340" s="115"/>
      <c r="BZ340" s="115"/>
      <c r="CA340" s="115"/>
      <c r="CB340" s="115"/>
      <c r="CC340" s="115"/>
      <c r="CD340" s="115"/>
      <c r="CE340" s="115"/>
      <c r="CF340" s="115"/>
    </row>
    <row r="341" spans="1:84">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c r="BY341" s="115"/>
      <c r="BZ341" s="115"/>
      <c r="CA341" s="115"/>
      <c r="CB341" s="115"/>
      <c r="CC341" s="115"/>
      <c r="CD341" s="115"/>
      <c r="CE341" s="115"/>
      <c r="CF341" s="115"/>
    </row>
    <row r="342" spans="1:84">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c r="CA342" s="115"/>
      <c r="CB342" s="115"/>
      <c r="CC342" s="115"/>
      <c r="CD342" s="115"/>
      <c r="CE342" s="115"/>
      <c r="CF342" s="115"/>
    </row>
    <row r="343" spans="1:84">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c r="CA343" s="115"/>
      <c r="CB343" s="115"/>
      <c r="CC343" s="115"/>
      <c r="CD343" s="115"/>
      <c r="CE343" s="115"/>
      <c r="CF343" s="115"/>
    </row>
    <row r="344" spans="1:84">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c r="BY344" s="115"/>
      <c r="BZ344" s="115"/>
      <c r="CA344" s="115"/>
      <c r="CB344" s="115"/>
      <c r="CC344" s="115"/>
      <c r="CD344" s="115"/>
      <c r="CE344" s="115"/>
      <c r="CF344" s="115"/>
    </row>
    <row r="345" spans="1:84">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c r="BY345" s="115"/>
      <c r="BZ345" s="115"/>
      <c r="CA345" s="115"/>
      <c r="CB345" s="115"/>
      <c r="CC345" s="115"/>
      <c r="CD345" s="115"/>
      <c r="CE345" s="115"/>
      <c r="CF345" s="115"/>
    </row>
    <row r="346" spans="1:84">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c r="BY346" s="115"/>
      <c r="BZ346" s="115"/>
      <c r="CA346" s="115"/>
      <c r="CB346" s="115"/>
      <c r="CC346" s="115"/>
      <c r="CD346" s="115"/>
      <c r="CE346" s="115"/>
      <c r="CF346" s="115"/>
    </row>
    <row r="347" spans="1:84">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c r="BY347" s="115"/>
      <c r="BZ347" s="115"/>
      <c r="CA347" s="115"/>
      <c r="CB347" s="115"/>
      <c r="CC347" s="115"/>
      <c r="CD347" s="115"/>
      <c r="CE347" s="115"/>
      <c r="CF347" s="115"/>
    </row>
    <row r="348" spans="1:84">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c r="BY348" s="115"/>
      <c r="BZ348" s="115"/>
      <c r="CA348" s="115"/>
      <c r="CB348" s="115"/>
      <c r="CC348" s="115"/>
      <c r="CD348" s="115"/>
      <c r="CE348" s="115"/>
      <c r="CF348" s="115"/>
    </row>
    <row r="349" spans="1:84">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c r="BY349" s="115"/>
      <c r="BZ349" s="115"/>
      <c r="CA349" s="115"/>
      <c r="CB349" s="115"/>
      <c r="CC349" s="115"/>
      <c r="CD349" s="115"/>
      <c r="CE349" s="115"/>
      <c r="CF349" s="115"/>
    </row>
    <row r="350" spans="1:84">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c r="BY350" s="115"/>
      <c r="BZ350" s="115"/>
      <c r="CA350" s="115"/>
      <c r="CB350" s="115"/>
      <c r="CC350" s="115"/>
      <c r="CD350" s="115"/>
      <c r="CE350" s="115"/>
      <c r="CF350" s="115"/>
    </row>
    <row r="351" spans="1:84">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c r="BY351" s="115"/>
      <c r="BZ351" s="115"/>
      <c r="CA351" s="115"/>
      <c r="CB351" s="115"/>
      <c r="CC351" s="115"/>
      <c r="CD351" s="115"/>
      <c r="CE351" s="115"/>
      <c r="CF351" s="115"/>
    </row>
    <row r="352" spans="1:84">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c r="BY352" s="115"/>
      <c r="BZ352" s="115"/>
      <c r="CA352" s="115"/>
      <c r="CB352" s="115"/>
      <c r="CC352" s="115"/>
      <c r="CD352" s="115"/>
      <c r="CE352" s="115"/>
      <c r="CF352" s="115"/>
    </row>
    <row r="353" spans="1:84">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c r="BY353" s="115"/>
      <c r="BZ353" s="115"/>
      <c r="CA353" s="115"/>
      <c r="CB353" s="115"/>
      <c r="CC353" s="115"/>
      <c r="CD353" s="115"/>
      <c r="CE353" s="115"/>
      <c r="CF353" s="115"/>
    </row>
    <row r="354" spans="1:84">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c r="BY354" s="115"/>
      <c r="BZ354" s="115"/>
      <c r="CA354" s="115"/>
      <c r="CB354" s="115"/>
      <c r="CC354" s="115"/>
      <c r="CD354" s="115"/>
      <c r="CE354" s="115"/>
      <c r="CF354" s="115"/>
    </row>
    <row r="355" spans="1:84">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c r="BY355" s="115"/>
      <c r="BZ355" s="115"/>
      <c r="CA355" s="115"/>
      <c r="CB355" s="115"/>
      <c r="CC355" s="115"/>
      <c r="CD355" s="115"/>
      <c r="CE355" s="115"/>
      <c r="CF355" s="115"/>
    </row>
    <row r="356" spans="1:84">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c r="BY356" s="115"/>
      <c r="BZ356" s="115"/>
      <c r="CA356" s="115"/>
      <c r="CB356" s="115"/>
      <c r="CC356" s="115"/>
      <c r="CD356" s="115"/>
      <c r="CE356" s="115"/>
      <c r="CF356" s="115"/>
    </row>
    <row r="357" spans="1:84">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c r="BY357" s="115"/>
      <c r="BZ357" s="115"/>
      <c r="CA357" s="115"/>
      <c r="CB357" s="115"/>
      <c r="CC357" s="115"/>
      <c r="CD357" s="115"/>
      <c r="CE357" s="115"/>
      <c r="CF357" s="115"/>
    </row>
    <row r="358" spans="1:84">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c r="BY358" s="115"/>
      <c r="BZ358" s="115"/>
      <c r="CA358" s="115"/>
      <c r="CB358" s="115"/>
      <c r="CC358" s="115"/>
      <c r="CD358" s="115"/>
      <c r="CE358" s="115"/>
      <c r="CF358" s="115"/>
    </row>
    <row r="359" spans="1:84">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c r="BY359" s="115"/>
      <c r="BZ359" s="115"/>
      <c r="CA359" s="115"/>
      <c r="CB359" s="115"/>
      <c r="CC359" s="115"/>
      <c r="CD359" s="115"/>
      <c r="CE359" s="115"/>
      <c r="CF359" s="115"/>
    </row>
    <row r="360" spans="1:84">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c r="BY360" s="115"/>
      <c r="BZ360" s="115"/>
      <c r="CA360" s="115"/>
      <c r="CB360" s="115"/>
      <c r="CC360" s="115"/>
      <c r="CD360" s="115"/>
      <c r="CE360" s="115"/>
      <c r="CF360" s="115"/>
    </row>
    <row r="361" spans="1:84">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c r="BY361" s="115"/>
      <c r="BZ361" s="115"/>
      <c r="CA361" s="115"/>
      <c r="CB361" s="115"/>
      <c r="CC361" s="115"/>
      <c r="CD361" s="115"/>
      <c r="CE361" s="115"/>
      <c r="CF361" s="115"/>
    </row>
    <row r="362" spans="1:84">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c r="BY362" s="115"/>
      <c r="BZ362" s="115"/>
      <c r="CA362" s="115"/>
      <c r="CB362" s="115"/>
      <c r="CC362" s="115"/>
      <c r="CD362" s="115"/>
      <c r="CE362" s="115"/>
      <c r="CF362" s="115"/>
    </row>
    <row r="363" spans="1:84">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c r="BY363" s="115"/>
      <c r="BZ363" s="115"/>
      <c r="CA363" s="115"/>
      <c r="CB363" s="115"/>
      <c r="CC363" s="115"/>
      <c r="CD363" s="115"/>
      <c r="CE363" s="115"/>
      <c r="CF363" s="115"/>
    </row>
    <row r="364" spans="1:84">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c r="BY364" s="115"/>
      <c r="BZ364" s="115"/>
      <c r="CA364" s="115"/>
      <c r="CB364" s="115"/>
      <c r="CC364" s="115"/>
      <c r="CD364" s="115"/>
      <c r="CE364" s="115"/>
      <c r="CF364" s="115"/>
    </row>
    <row r="365" spans="1:84">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c r="BY365" s="115"/>
      <c r="BZ365" s="115"/>
      <c r="CA365" s="115"/>
      <c r="CB365" s="115"/>
      <c r="CC365" s="115"/>
      <c r="CD365" s="115"/>
      <c r="CE365" s="115"/>
      <c r="CF365" s="115"/>
    </row>
    <row r="366" spans="1:84">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c r="BY366" s="115"/>
      <c r="BZ366" s="115"/>
      <c r="CA366" s="115"/>
      <c r="CB366" s="115"/>
      <c r="CC366" s="115"/>
      <c r="CD366" s="115"/>
      <c r="CE366" s="115"/>
      <c r="CF366" s="115"/>
    </row>
    <row r="367" spans="1:84">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c r="BY367" s="115"/>
      <c r="BZ367" s="115"/>
      <c r="CA367" s="115"/>
      <c r="CB367" s="115"/>
      <c r="CC367" s="115"/>
      <c r="CD367" s="115"/>
      <c r="CE367" s="115"/>
      <c r="CF367" s="115"/>
    </row>
    <row r="368" spans="1:84">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c r="BY368" s="115"/>
      <c r="BZ368" s="115"/>
      <c r="CA368" s="115"/>
      <c r="CB368" s="115"/>
      <c r="CC368" s="115"/>
      <c r="CD368" s="115"/>
      <c r="CE368" s="115"/>
      <c r="CF368" s="115"/>
    </row>
    <row r="369" spans="1:84">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c r="BY369" s="115"/>
      <c r="BZ369" s="115"/>
      <c r="CA369" s="115"/>
      <c r="CB369" s="115"/>
      <c r="CC369" s="115"/>
      <c r="CD369" s="115"/>
      <c r="CE369" s="115"/>
      <c r="CF369" s="115"/>
    </row>
  </sheetData>
  <mergeCells count="41">
    <mergeCell ref="K7:W7"/>
    <mergeCell ref="E24:F24"/>
    <mergeCell ref="G24:H24"/>
    <mergeCell ref="I24:J24"/>
    <mergeCell ref="K24:L24"/>
    <mergeCell ref="C22:L22"/>
    <mergeCell ref="E23:H23"/>
    <mergeCell ref="I23:L23"/>
    <mergeCell ref="P8:P10"/>
    <mergeCell ref="Q8:Q10"/>
    <mergeCell ref="D7:G7"/>
    <mergeCell ref="H7:J7"/>
    <mergeCell ref="AD8:AD10"/>
    <mergeCell ref="AE8:AE10"/>
    <mergeCell ref="AF8:AF10"/>
    <mergeCell ref="AG8:AG10"/>
    <mergeCell ref="AH8:AH10"/>
    <mergeCell ref="Y8:Y10"/>
    <mergeCell ref="Z8:Z10"/>
    <mergeCell ref="AA8:AA10"/>
    <mergeCell ref="AB8:AB10"/>
    <mergeCell ref="AC8:AC10"/>
    <mergeCell ref="X8:X10"/>
    <mergeCell ref="G8:G10"/>
    <mergeCell ref="H8:H10"/>
    <mergeCell ref="I8:I10"/>
    <mergeCell ref="J8:J10"/>
    <mergeCell ref="K8:K10"/>
    <mergeCell ref="L8:L10"/>
    <mergeCell ref="M8:M10"/>
    <mergeCell ref="N8:N10"/>
    <mergeCell ref="O8:O10"/>
    <mergeCell ref="R10:S10"/>
    <mergeCell ref="U10:V10"/>
    <mergeCell ref="R8:T9"/>
    <mergeCell ref="U8:W9"/>
    <mergeCell ref="B8:B10"/>
    <mergeCell ref="C8:C10"/>
    <mergeCell ref="D8:D10"/>
    <mergeCell ref="E8:E10"/>
    <mergeCell ref="F8:F10"/>
  </mergeCells>
  <conditionalFormatting sqref="H11:J18">
    <cfRule type="expression" dxfId="35" priority="1" stopIfTrue="1">
      <formula>IF($D11="New Construction", TRUE, FALSE)</formula>
    </cfRule>
  </conditionalFormatting>
  <conditionalFormatting sqref="AD11:AF18">
    <cfRule type="expression" dxfId="34" priority="209" stopIfTrue="1">
      <formula>IF($AH11="No", TRUE, FALSE)</formula>
    </cfRule>
  </conditionalFormatting>
  <dataValidations count="5">
    <dataValidation type="decimal" allowBlank="1" showInputMessage="1" showErrorMessage="1" sqref="W11:W18 T11:T18" xr:uid="{00000000-0002-0000-0200-000000000000}">
      <formula1>0</formula1>
      <formula2>30</formula2>
    </dataValidation>
    <dataValidation type="list" allowBlank="1" showInputMessage="1" showErrorMessage="1" sqref="D11:D18" xr:uid="{00000000-0002-0000-0200-000001000000}">
      <formula1>Project_Type</formula1>
    </dataValidation>
    <dataValidation type="list" allowBlank="1" showInputMessage="1" showErrorMessage="1" sqref="F11:F18" xr:uid="{00000000-0002-0000-0200-000002000000}">
      <formula1>Zip_Code</formula1>
    </dataValidation>
    <dataValidation type="list" allowBlank="1" showInputMessage="1" showErrorMessage="1" sqref="O11:O18" xr:uid="{00000000-0002-0000-0200-000003000000}">
      <formula1>$N$23:$N$24</formula1>
    </dataValidation>
    <dataValidation type="list" allowBlank="1" showInputMessage="1" showErrorMessage="1" sqref="E11:E18" xr:uid="{00000000-0002-0000-0200-000004000000}">
      <formula1>#REF!</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tabColor rgb="FFFF0000"/>
  </sheetPr>
  <dimension ref="A1:CJ385"/>
  <sheetViews>
    <sheetView workbookViewId="0"/>
  </sheetViews>
  <sheetFormatPr defaultColWidth="9.140625" defaultRowHeight="15"/>
  <cols>
    <col min="1" max="1" width="1.42578125" style="123" customWidth="1"/>
    <col min="2" max="2" width="6" style="123" customWidth="1"/>
    <col min="3" max="3" width="27.7109375" style="123" customWidth="1"/>
    <col min="4" max="4" width="20.7109375" style="123" customWidth="1"/>
    <col min="5" max="5" width="14.28515625" style="123" bestFit="1" customWidth="1"/>
    <col min="6" max="6" width="14.28515625" style="123" customWidth="1"/>
    <col min="7" max="7" width="13.85546875" style="123" customWidth="1"/>
    <col min="8" max="8" width="15" style="123" customWidth="1"/>
    <col min="9" max="9" width="16" style="123" customWidth="1"/>
    <col min="10" max="10" width="15" style="123" customWidth="1"/>
    <col min="11" max="11" width="10.42578125" style="123" customWidth="1"/>
    <col min="12" max="12" width="34.7109375" style="123" customWidth="1"/>
    <col min="13" max="13" width="15.140625" style="123" customWidth="1"/>
    <col min="14" max="14" width="16" style="123" customWidth="1"/>
    <col min="15" max="15" width="12.42578125" style="123" customWidth="1"/>
    <col min="16" max="16" width="18.28515625" style="123" customWidth="1"/>
    <col min="17" max="17" width="15.5703125" style="123" customWidth="1"/>
    <col min="18" max="18" width="13.85546875" style="123" customWidth="1"/>
    <col min="19" max="19" width="8.85546875" style="123" customWidth="1"/>
    <col min="20" max="20" width="8.5703125" style="123" customWidth="1"/>
    <col min="21" max="21" width="10.5703125" style="123" customWidth="1"/>
    <col min="22" max="22" width="8.85546875" style="123" customWidth="1"/>
    <col min="23" max="23" width="8.5703125" style="123" customWidth="1"/>
    <col min="24" max="24" width="10.5703125" style="123" customWidth="1"/>
    <col min="25" max="25" width="11.5703125" style="123" customWidth="1"/>
    <col min="26" max="26" width="10.42578125" style="123" customWidth="1"/>
    <col min="27" max="27" width="14" style="123" customWidth="1"/>
    <col min="28" max="30" width="11.7109375" style="123" customWidth="1"/>
    <col min="31" max="32" width="13.85546875" style="123" customWidth="1"/>
    <col min="33" max="33" width="13.7109375" style="123" customWidth="1"/>
    <col min="34" max="34" width="23.7109375" style="123" customWidth="1"/>
    <col min="35" max="35" width="15.42578125" style="123" customWidth="1"/>
    <col min="36" max="36" width="66.7109375" style="123" bestFit="1" customWidth="1"/>
    <col min="37" max="37" width="34.42578125" style="123" bestFit="1" customWidth="1"/>
    <col min="38" max="38" width="17.85546875" customWidth="1"/>
    <col min="39" max="40" width="9.140625" style="123"/>
    <col min="41" max="41" width="32.7109375" style="123" customWidth="1"/>
    <col min="42" max="45" width="9.140625" style="123"/>
    <col min="46" max="46" width="34.42578125" style="123" bestFit="1" customWidth="1"/>
    <col min="47" max="47" width="25.28515625" style="123" customWidth="1"/>
    <col min="48" max="49" width="12.7109375" style="123" customWidth="1"/>
    <col min="50" max="50" width="34.42578125" style="123" bestFit="1" customWidth="1"/>
    <col min="51" max="51" width="23.85546875" style="123" customWidth="1"/>
    <col min="52" max="55" width="13.28515625" style="123" customWidth="1"/>
    <col min="56" max="64" width="9.140625" style="123"/>
    <col min="65" max="65" width="11.85546875" style="123" customWidth="1"/>
    <col min="66" max="16384" width="9.140625" style="123"/>
  </cols>
  <sheetData>
    <row r="1" spans="1:86" ht="29.25" customHeight="1">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94" t="s">
        <v>60</v>
      </c>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row>
    <row r="2" spans="1:86" ht="29.25" customHeight="1">
      <c r="A2" s="115"/>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row>
    <row r="3" spans="1:86" ht="29.25" customHeight="1">
      <c r="A3" s="115"/>
      <c r="B3" s="281"/>
      <c r="C3" s="182"/>
      <c r="D3" s="182"/>
      <c r="E3" s="182"/>
      <c r="F3" s="182"/>
      <c r="G3" s="182"/>
      <c r="H3" s="182"/>
      <c r="I3" s="182"/>
      <c r="J3" s="165"/>
      <c r="K3" s="165"/>
      <c r="L3" s="165"/>
      <c r="M3" s="165"/>
      <c r="N3" s="165"/>
      <c r="O3" s="165"/>
      <c r="P3" s="183"/>
      <c r="Q3" s="165"/>
      <c r="R3" s="165"/>
      <c r="S3" s="165"/>
      <c r="T3" s="165"/>
      <c r="U3" s="165"/>
      <c r="V3" s="165"/>
      <c r="W3" s="165"/>
      <c r="X3" s="165"/>
      <c r="Y3" s="165"/>
      <c r="Z3" s="165"/>
      <c r="AA3" s="165"/>
      <c r="AB3" s="165"/>
      <c r="AC3" s="165"/>
      <c r="AD3" s="165"/>
      <c r="AE3" s="165"/>
      <c r="AF3" s="165"/>
      <c r="AG3" s="165"/>
      <c r="AH3" s="165"/>
      <c r="AI3" s="165"/>
      <c r="AJ3" s="165"/>
      <c r="AK3" s="165"/>
      <c r="AL3" s="164"/>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row>
    <row r="4" spans="1:86" ht="31.5" customHeight="1">
      <c r="A4" s="115"/>
      <c r="B4" s="281"/>
      <c r="C4" s="182"/>
      <c r="D4" s="182"/>
      <c r="E4" s="182"/>
      <c r="F4" s="182"/>
      <c r="G4" s="182"/>
      <c r="H4" s="182"/>
      <c r="I4" s="182"/>
      <c r="J4" s="165"/>
      <c r="K4" s="165"/>
      <c r="L4" s="165"/>
      <c r="M4" s="165"/>
      <c r="N4" s="165"/>
      <c r="O4" s="165"/>
      <c r="P4" s="183"/>
      <c r="Q4" s="165"/>
      <c r="R4" s="165"/>
      <c r="S4" s="165"/>
      <c r="T4" s="165"/>
      <c r="U4" s="165"/>
      <c r="V4" s="165"/>
      <c r="W4" s="165"/>
      <c r="X4" s="165"/>
      <c r="Y4" s="165"/>
      <c r="Z4" s="165"/>
      <c r="AA4" s="165"/>
      <c r="AB4" s="165"/>
      <c r="AC4" s="165"/>
      <c r="AD4" s="165"/>
      <c r="AE4" s="165"/>
      <c r="AF4" s="165"/>
      <c r="AG4" s="165"/>
      <c r="AH4" s="165"/>
      <c r="AI4" s="165"/>
      <c r="AJ4" s="165"/>
      <c r="AK4" s="165"/>
      <c r="AL4" s="164"/>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row>
    <row r="5" spans="1:86" ht="1.5" customHeight="1">
      <c r="A5" s="115"/>
      <c r="B5" s="282"/>
      <c r="C5" s="282"/>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row>
    <row r="6" spans="1:86" ht="14.25" customHeight="1">
      <c r="A6" s="115"/>
      <c r="B6" s="283"/>
      <c r="C6" s="283"/>
      <c r="D6" s="733" t="s">
        <v>112</v>
      </c>
      <c r="E6" s="734"/>
      <c r="F6" s="734"/>
      <c r="G6" s="735"/>
      <c r="H6" s="732" t="s">
        <v>113</v>
      </c>
      <c r="I6" s="727"/>
      <c r="J6" s="736"/>
      <c r="K6" s="732" t="s">
        <v>114</v>
      </c>
      <c r="L6" s="727"/>
      <c r="M6" s="727"/>
      <c r="N6" s="727"/>
      <c r="O6" s="727"/>
      <c r="P6" s="727"/>
      <c r="Q6" s="228"/>
      <c r="R6" s="228"/>
      <c r="S6" s="143"/>
      <c r="T6" s="143"/>
      <c r="U6" s="143"/>
      <c r="V6" s="143"/>
      <c r="W6" s="143"/>
      <c r="X6" s="223"/>
      <c r="Y6" s="146"/>
      <c r="Z6" s="146"/>
      <c r="AA6" s="146"/>
      <c r="AB6" s="146"/>
      <c r="AC6" s="146"/>
      <c r="AD6" s="146"/>
      <c r="AE6" s="143"/>
      <c r="AF6" s="143"/>
      <c r="AG6" s="143"/>
      <c r="AH6" s="146"/>
      <c r="AI6" s="143"/>
      <c r="AJ6" s="146"/>
      <c r="AK6" s="146"/>
      <c r="AL6" s="147"/>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row>
    <row r="7" spans="1:86" ht="14.25" customHeight="1">
      <c r="A7" s="115"/>
      <c r="B7" s="283"/>
      <c r="C7" s="283"/>
      <c r="D7" s="719" t="s">
        <v>115</v>
      </c>
      <c r="E7" s="696" t="s">
        <v>116</v>
      </c>
      <c r="F7" s="696" t="s">
        <v>117</v>
      </c>
      <c r="G7" s="712" t="s">
        <v>118</v>
      </c>
      <c r="H7" s="719" t="s">
        <v>119</v>
      </c>
      <c r="I7" s="696" t="s">
        <v>120</v>
      </c>
      <c r="J7" s="712" t="s">
        <v>121</v>
      </c>
      <c r="K7" s="185"/>
      <c r="L7" s="696" t="s">
        <v>122</v>
      </c>
      <c r="M7" s="186"/>
      <c r="N7" s="186"/>
      <c r="O7" s="186"/>
      <c r="P7" s="696" t="s">
        <v>123</v>
      </c>
      <c r="Q7" s="696" t="s">
        <v>124</v>
      </c>
      <c r="R7" s="696" t="s">
        <v>125</v>
      </c>
      <c r="S7" s="719" t="s">
        <v>126</v>
      </c>
      <c r="T7" s="696"/>
      <c r="U7" s="712"/>
      <c r="V7" s="725" t="s">
        <v>127</v>
      </c>
      <c r="W7" s="696"/>
      <c r="X7" s="712"/>
      <c r="Y7" s="698" t="s">
        <v>81</v>
      </c>
      <c r="Z7" s="698" t="s">
        <v>82</v>
      </c>
      <c r="AA7" s="698" t="s">
        <v>128</v>
      </c>
      <c r="AB7" s="698" t="s">
        <v>129</v>
      </c>
      <c r="AC7" s="698" t="s">
        <v>130</v>
      </c>
      <c r="AD7" s="698" t="s">
        <v>131</v>
      </c>
      <c r="AE7" s="696" t="s">
        <v>87</v>
      </c>
      <c r="AF7" s="696" t="s">
        <v>88</v>
      </c>
      <c r="AG7" s="696" t="s">
        <v>89</v>
      </c>
      <c r="AH7" s="698" t="s">
        <v>90</v>
      </c>
      <c r="AI7" s="696" t="s">
        <v>91</v>
      </c>
      <c r="AJ7" s="698" t="s">
        <v>132</v>
      </c>
      <c r="AK7" s="698" t="s">
        <v>133</v>
      </c>
      <c r="AL7" s="698" t="s">
        <v>134</v>
      </c>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row>
    <row r="8" spans="1:86" ht="14.25" customHeight="1">
      <c r="A8" s="115"/>
      <c r="B8" s="696" t="s">
        <v>135</v>
      </c>
      <c r="C8" s="712" t="s">
        <v>65</v>
      </c>
      <c r="D8" s="719"/>
      <c r="E8" s="696"/>
      <c r="F8" s="696"/>
      <c r="G8" s="712"/>
      <c r="H8" s="719"/>
      <c r="I8" s="696"/>
      <c r="J8" s="712"/>
      <c r="K8" s="719" t="s">
        <v>136</v>
      </c>
      <c r="L8" s="696"/>
      <c r="M8" s="696" t="s">
        <v>137</v>
      </c>
      <c r="N8" s="696" t="s">
        <v>138</v>
      </c>
      <c r="O8" s="696" t="s">
        <v>139</v>
      </c>
      <c r="P8" s="696"/>
      <c r="Q8" s="696"/>
      <c r="R8" s="696"/>
      <c r="S8" s="719"/>
      <c r="T8" s="696"/>
      <c r="U8" s="712"/>
      <c r="V8" s="719"/>
      <c r="W8" s="696"/>
      <c r="X8" s="712"/>
      <c r="Y8" s="698"/>
      <c r="Z8" s="698"/>
      <c r="AA8" s="698"/>
      <c r="AB8" s="698"/>
      <c r="AC8" s="698"/>
      <c r="AD8" s="698"/>
      <c r="AE8" s="696"/>
      <c r="AF8" s="696"/>
      <c r="AG8" s="696"/>
      <c r="AH8" s="698"/>
      <c r="AI8" s="696"/>
      <c r="AJ8" s="698"/>
      <c r="AK8" s="698"/>
      <c r="AL8" s="698"/>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row>
    <row r="9" spans="1:86" ht="16.5" customHeight="1">
      <c r="A9" s="115"/>
      <c r="B9" s="696"/>
      <c r="C9" s="712"/>
      <c r="D9" s="719"/>
      <c r="E9" s="696"/>
      <c r="F9" s="696"/>
      <c r="G9" s="712"/>
      <c r="H9" s="719"/>
      <c r="I9" s="696"/>
      <c r="J9" s="712"/>
      <c r="K9" s="719"/>
      <c r="L9" s="696"/>
      <c r="M9" s="696"/>
      <c r="N9" s="696"/>
      <c r="O9" s="696"/>
      <c r="P9" s="696"/>
      <c r="Q9" s="696"/>
      <c r="R9" s="696"/>
      <c r="S9" s="723" t="s">
        <v>92</v>
      </c>
      <c r="T9" s="724"/>
      <c r="U9" s="215" t="s">
        <v>93</v>
      </c>
      <c r="V9" s="723" t="s">
        <v>92</v>
      </c>
      <c r="W9" s="724"/>
      <c r="X9" s="215" t="s">
        <v>93</v>
      </c>
      <c r="Y9" s="698"/>
      <c r="Z9" s="698"/>
      <c r="AA9" s="698"/>
      <c r="AB9" s="698"/>
      <c r="AC9" s="698"/>
      <c r="AD9" s="698"/>
      <c r="AE9" s="696"/>
      <c r="AF9" s="696"/>
      <c r="AG9" s="696"/>
      <c r="AH9" s="698"/>
      <c r="AI9" s="696"/>
      <c r="AJ9" s="698"/>
      <c r="AK9" s="698"/>
      <c r="AL9" s="698"/>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row>
    <row r="10" spans="1:86" customFormat="1" ht="19.5" customHeight="1">
      <c r="A10" s="11"/>
      <c r="B10" s="17">
        <v>1</v>
      </c>
      <c r="C10" s="452" t="s">
        <v>140</v>
      </c>
      <c r="D10" s="31"/>
      <c r="E10" s="31"/>
      <c r="F10" s="31"/>
      <c r="G10" s="21"/>
      <c r="H10" s="13"/>
      <c r="I10" s="111"/>
      <c r="J10" s="111"/>
      <c r="K10" s="13"/>
      <c r="L10" s="110"/>
      <c r="M10" s="13"/>
      <c r="N10" s="13"/>
      <c r="O10" s="12"/>
      <c r="P10" s="12"/>
      <c r="Q10" s="356"/>
      <c r="R10" s="34" t="str">
        <f t="shared" ref="R10:R17" si="0">IF(Q10="", "", Q10/12000)</f>
        <v/>
      </c>
      <c r="S10" s="37" t="str">
        <f t="shared" ref="S10:S17" si="1">IF(OR(L10="", P10="", Q10=""), "", IF(L10=$C$24, VLOOKUP(AH10,$D$24:$L$28, IF(P10=$T$24, 9, 7), FALSE), VLOOKUP(AH10,$D$29:$L$33, IF(P10=$T$24, 9, 7), FALSE)))</f>
        <v/>
      </c>
      <c r="T10" s="38" t="str">
        <f>IF(S10="", "", "kW/ton")</f>
        <v/>
      </c>
      <c r="U10" s="111"/>
      <c r="V10" s="37" t="str">
        <f t="shared" ref="V10:V17" si="2">IF(OR(L10="", P10="", Q10=""), "", IF(L10=$C$24, VLOOKUP(AH10,$D$24:$L$28, IF(P10=$T$24, 8, 6), FALSE), VLOOKUP(AH10,$D$29:$L$33, IF(P10=$T$24, 8, 6), FALSE)))</f>
        <v/>
      </c>
      <c r="W10" s="38" t="str">
        <f>IF(S10="", "", "kW/ton")</f>
        <v/>
      </c>
      <c r="X10" s="111"/>
      <c r="Y10" s="41" t="e">
        <f>VLOOKUP(E10,'Lookup Tables'!$G$46:$P$55, MATCH(G10, 'Lookup Tables'!$H$45:$P$45,1)+1, FALSE)</f>
        <v>#N/A</v>
      </c>
      <c r="Z10" s="35" t="e">
        <f>VLOOKUP(E10, 'Lookup Tables'!$G$32:$P$41, MATCH(G10, 'Lookup Tables'!$H$31:$P$31,1)+1, FALSE)</f>
        <v>#N/A</v>
      </c>
      <c r="AA10" s="36" t="str">
        <f>IF(OR(L10="", P10="", Q10=""), "", IF(L10=$C$24, VLOOKUP(AH10,$D$24:$L$28, IF(P10=$T$24, 5, 3), FALSE), VLOOKUP(AH10,$D$29:$L$33, IF(P10=$T$24, 5, 3), FALSE)))</f>
        <v/>
      </c>
      <c r="AB10" s="36" t="str">
        <f t="shared" ref="AB10:AB17" si="3">IF(AND(H10&lt;20, D10="Replacement"), IF(OR(I10="", I10&gt;AA10), AA10, I10), AA10)</f>
        <v/>
      </c>
      <c r="AC10" s="36" t="str">
        <f t="shared" ref="AC10:AC17" si="4">IF(OR(L10="", P10="", Q10=""), "", IF(L10=$C$24, VLOOKUP(AH10,$D$24:$L$27, IF(P10=$T$24, 4, 2), FALSE), VLOOKUP(AH10,$D$29:$L$33, IF(P10=$T$24, 4, 2), FALSE)))</f>
        <v/>
      </c>
      <c r="AD10" s="36" t="str">
        <f t="shared" ref="AD10:AD17" si="5">IF(AND(H10&lt;20, D10="Replacement"), IF(OR(J10="", J10&gt;AC10), AC10, J10), AC10)</f>
        <v/>
      </c>
      <c r="AE10" s="15" t="str">
        <f t="shared" ref="AE10:AE17" si="6">IFERROR(IF(OR(L10="",P10="",Q10="",U10=""),"",R10*Y10*(AC10-U10)*K10), "")</f>
        <v/>
      </c>
      <c r="AF10" s="15" t="str">
        <f t="shared" ref="AF10:AF17" si="7">IFERROR(IF(OR(U10="", D10="", E10="", G10="", X10=""), "", R10*(AB10-U10)*Z10)*K10, "")</f>
        <v/>
      </c>
      <c r="AG10" s="16" t="str">
        <f t="shared" ref="AG10:AG17" si="8">IF(OR(D10="", R10="", AF10="", AI10="No"),"", K10*R10*$T$28)</f>
        <v/>
      </c>
      <c r="AH10" s="14" t="b">
        <f>IFERROR(IF(L10=$C$24,IF(AND(R10&gt;=$P$24,R10&lt;$Q$24),$D$24,IF(AND(R10&gt;=$P$25,R10&lt;$Q$25),$D$25,IF(AND(R10&gt;=$P$26,R10&lt;$Q$26),$D$26,IF(AND(R10&gt;=$P$27,R10&lt;$Q$27),$D$27,$D$28))))),"")</f>
        <v>0</v>
      </c>
      <c r="AI10" s="40" t="str">
        <f t="shared" ref="AI10:AI17" si="9">IF(OR(D10="", E10="", F10="", U10="", X10=""), "", IF(AND(U10&lt;S10, X10&lt;V10), "Yes", "No"))</f>
        <v/>
      </c>
      <c r="AJ10" s="129" t="str">
        <f t="array" ref="AJ10">IFERROR(INDEX($C$24:$O$33, MATCH(1, (L10=$C$24:$C$33)*(AH10=$D$24:$D$33), 0), 12), "")</f>
        <v/>
      </c>
      <c r="AK10" s="129" t="str">
        <f t="array" ref="AK10">IFERROR(INDEX($C$24:$O$33, MATCH(1, (L10=$C$24:$C$33)*(AH10=$D$24:$D$33), 0), 13), "")</f>
        <v/>
      </c>
      <c r="AL10" s="40" t="str">
        <f t="array" ref="AL10">IFERROR(INDEX($C$24:$O$33, MATCH(1, (L10=$C$24:$C$33)*(AH10=$D$24:$D$33), 0), 11), "")</f>
        <v/>
      </c>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row>
    <row r="11" spans="1:86" customFormat="1" ht="19.5" customHeight="1">
      <c r="A11" s="11"/>
      <c r="B11" s="17">
        <v>2</v>
      </c>
      <c r="C11" s="452" t="s">
        <v>140</v>
      </c>
      <c r="D11" s="31"/>
      <c r="E11" s="31"/>
      <c r="F11" s="31"/>
      <c r="G11" s="21" t="str">
        <f>IFERROR(VLOOKUP(F11, 'Lookup Tables'!$B$5:$C$2224, 2, FALSE), "")</f>
        <v/>
      </c>
      <c r="H11" s="13"/>
      <c r="I11" s="111"/>
      <c r="J11" s="111"/>
      <c r="K11" s="13"/>
      <c r="L11" s="110"/>
      <c r="M11" s="13"/>
      <c r="N11" s="13"/>
      <c r="O11" s="12"/>
      <c r="P11" s="12"/>
      <c r="Q11" s="356"/>
      <c r="R11" s="34" t="str">
        <f t="shared" si="0"/>
        <v/>
      </c>
      <c r="S11" s="37" t="str">
        <f t="shared" si="1"/>
        <v/>
      </c>
      <c r="T11" s="38" t="str">
        <f t="shared" ref="T11:T17" si="10">IF(S11="", "", "kW/ton")</f>
        <v/>
      </c>
      <c r="U11" s="111"/>
      <c r="V11" s="37" t="str">
        <f t="shared" si="2"/>
        <v/>
      </c>
      <c r="W11" s="38" t="str">
        <f t="shared" ref="W11:W17" si="11">IF(S11="", "", "kW/ton")</f>
        <v/>
      </c>
      <c r="X11" s="111"/>
      <c r="Y11" s="41" t="e">
        <f>VLOOKUP(E11,'Lookup Tables'!$G$46:$P$55, MATCH(G11, 'Lookup Tables'!$H$45:$P$45,1)+1, FALSE)</f>
        <v>#N/A</v>
      </c>
      <c r="Z11" s="137" t="e">
        <f>VLOOKUP(E11, 'Lookup Tables'!$G$32:$P$41, MATCH(G11, 'Lookup Tables'!$H$31:$P$31,1)+1, FALSE)</f>
        <v>#N/A</v>
      </c>
      <c r="AA11" s="36" t="str">
        <f t="shared" ref="AA11:AA17" si="12">IF(OR(L11="", P11="", Q11=""), "", IF(L11=$C$24, VLOOKUP(AH11,$D$24:$L$28, IF(P11=$T$24, 5, 3), FALSE), VLOOKUP(AH11,$D$29:$L$33, IF(P11=$T$24, 5, 3), FALSE)))</f>
        <v/>
      </c>
      <c r="AB11" s="36" t="str">
        <f t="shared" si="3"/>
        <v/>
      </c>
      <c r="AC11" s="36" t="str">
        <f t="shared" si="4"/>
        <v/>
      </c>
      <c r="AD11" s="36" t="str">
        <f t="shared" si="5"/>
        <v/>
      </c>
      <c r="AE11" s="15" t="str">
        <f t="shared" si="6"/>
        <v/>
      </c>
      <c r="AF11" s="15" t="str">
        <f t="shared" si="7"/>
        <v/>
      </c>
      <c r="AG11" s="16" t="str">
        <f t="shared" si="8"/>
        <v/>
      </c>
      <c r="AH11" s="14" t="b">
        <f t="shared" ref="AH11:AH17" si="13">IFERROR(IF(L11=$C$24,IF(AND(R11&gt;=$P$24,R11&lt;$Q$24),$D$24,IF(AND(R11&gt;=$P$25,R11&lt;$Q$25),$D$25,IF(AND(R11&gt;=$P$26,R11&lt;$Q$26),$D$26,IF(AND(R11&gt;=$P$27,R11&lt;$Q$27),$D$27,$D$28))))),"")</f>
        <v>0</v>
      </c>
      <c r="AI11" s="40" t="str">
        <f t="shared" si="9"/>
        <v/>
      </c>
      <c r="AJ11" s="129" t="str">
        <f t="array" ref="AJ11">IFERROR(INDEX($C$24:$O$33, MATCH(1, (L11=$C$24:$C$33)*(AH11=$D$24:$D$33), 0), 12), "")</f>
        <v/>
      </c>
      <c r="AK11" s="129" t="str">
        <f t="array" ref="AK11">IFERROR(INDEX($C$24:$O$33, MATCH(1, (L11=$C$24:$C$33)*(AH11=$D$24:$D$33), 0), 13), "")</f>
        <v/>
      </c>
      <c r="AL11" s="40" t="str">
        <f t="array" ref="AL11">IFERROR(INDEX($C$24:$O$33, MATCH(1, (L11=$C$24:$C$33)*(AH11=$D$24:$D$33), 0), 11), "")</f>
        <v/>
      </c>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row>
    <row r="12" spans="1:86" customFormat="1" ht="19.5" customHeight="1">
      <c r="A12" s="11"/>
      <c r="B12" s="17">
        <v>3</v>
      </c>
      <c r="C12" s="452" t="s">
        <v>140</v>
      </c>
      <c r="D12" s="31"/>
      <c r="E12" s="31"/>
      <c r="F12" s="31"/>
      <c r="G12" s="21" t="str">
        <f>IFERROR(VLOOKUP(F12, 'Lookup Tables'!$B$5:$C$2224, 2, FALSE), "")</f>
        <v/>
      </c>
      <c r="H12" s="13"/>
      <c r="I12" s="111"/>
      <c r="J12" s="111"/>
      <c r="K12" s="13"/>
      <c r="L12" s="110"/>
      <c r="M12" s="13"/>
      <c r="N12" s="13"/>
      <c r="O12" s="12"/>
      <c r="P12" s="12"/>
      <c r="Q12" s="356"/>
      <c r="R12" s="34" t="str">
        <f t="shared" si="0"/>
        <v/>
      </c>
      <c r="S12" s="37" t="str">
        <f t="shared" si="1"/>
        <v/>
      </c>
      <c r="T12" s="38" t="str">
        <f t="shared" si="10"/>
        <v/>
      </c>
      <c r="U12" s="111"/>
      <c r="V12" s="37" t="str">
        <f t="shared" si="2"/>
        <v/>
      </c>
      <c r="W12" s="38" t="str">
        <f t="shared" si="11"/>
        <v/>
      </c>
      <c r="X12" s="111"/>
      <c r="Y12" s="41" t="e">
        <f>VLOOKUP(E12,'Lookup Tables'!$G$46:$P$55, MATCH(G12, 'Lookup Tables'!$H$45:$P$45,1)+1, FALSE)</f>
        <v>#N/A</v>
      </c>
      <c r="Z12" s="137" t="e">
        <f>VLOOKUP(E12, 'Lookup Tables'!$G$32:$P$41, MATCH(G12, 'Lookup Tables'!$H$31:$P$31,1)+1, FALSE)</f>
        <v>#N/A</v>
      </c>
      <c r="AA12" s="36" t="str">
        <f t="shared" si="12"/>
        <v/>
      </c>
      <c r="AB12" s="36" t="str">
        <f t="shared" si="3"/>
        <v/>
      </c>
      <c r="AC12" s="36" t="str">
        <f t="shared" si="4"/>
        <v/>
      </c>
      <c r="AD12" s="36" t="str">
        <f t="shared" si="5"/>
        <v/>
      </c>
      <c r="AE12" s="15" t="str">
        <f t="shared" si="6"/>
        <v/>
      </c>
      <c r="AF12" s="15" t="str">
        <f t="shared" si="7"/>
        <v/>
      </c>
      <c r="AG12" s="16" t="str">
        <f t="shared" si="8"/>
        <v/>
      </c>
      <c r="AH12" s="14" t="b">
        <f t="shared" si="13"/>
        <v>0</v>
      </c>
      <c r="AI12" s="40" t="str">
        <f t="shared" si="9"/>
        <v/>
      </c>
      <c r="AJ12" s="129" t="str">
        <f t="array" ref="AJ12">IFERROR(INDEX($C$24:$O$33, MATCH(1, (L12=$C$24:$C$33)*(AH12=$D$24:$D$33), 0), 12), "")</f>
        <v/>
      </c>
      <c r="AK12" s="129" t="str">
        <f t="array" ref="AK12">IFERROR(INDEX($C$24:$O$33, MATCH(1, (L12=$C$24:$C$33)*(AH12=$D$24:$D$33), 0), 13), "")</f>
        <v/>
      </c>
      <c r="AL12" s="40" t="str">
        <f t="array" ref="AL12">IFERROR(INDEX($C$24:$O$33, MATCH(1, (L12=$C$24:$C$33)*(AH12=$D$24:$D$33), 0), 11), "")</f>
        <v/>
      </c>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row>
    <row r="13" spans="1:86" customFormat="1" ht="19.5" customHeight="1">
      <c r="A13" s="11"/>
      <c r="B13" s="17">
        <v>4</v>
      </c>
      <c r="C13" s="452" t="s">
        <v>140</v>
      </c>
      <c r="D13" s="31"/>
      <c r="E13" s="31"/>
      <c r="F13" s="31"/>
      <c r="G13" s="21" t="str">
        <f>IFERROR(VLOOKUP(F13, 'Lookup Tables'!$B$5:$C$2224, 2, FALSE), "")</f>
        <v/>
      </c>
      <c r="H13" s="13"/>
      <c r="I13" s="111"/>
      <c r="J13" s="111"/>
      <c r="K13" s="13"/>
      <c r="L13" s="110"/>
      <c r="M13" s="13"/>
      <c r="N13" s="13"/>
      <c r="O13" s="12"/>
      <c r="P13" s="12"/>
      <c r="Q13" s="356"/>
      <c r="R13" s="34" t="str">
        <f t="shared" si="0"/>
        <v/>
      </c>
      <c r="S13" s="37" t="str">
        <f t="shared" si="1"/>
        <v/>
      </c>
      <c r="T13" s="38" t="str">
        <f t="shared" si="10"/>
        <v/>
      </c>
      <c r="U13" s="111"/>
      <c r="V13" s="37" t="str">
        <f t="shared" si="2"/>
        <v/>
      </c>
      <c r="W13" s="38" t="str">
        <f t="shared" si="11"/>
        <v/>
      </c>
      <c r="X13" s="111"/>
      <c r="Y13" s="41" t="e">
        <f>VLOOKUP(E13,'Lookup Tables'!$G$46:$P$55, MATCH(G13, 'Lookup Tables'!$H$45:$P$45,1)+1, FALSE)</f>
        <v>#N/A</v>
      </c>
      <c r="Z13" s="137" t="e">
        <f>VLOOKUP(E13, 'Lookup Tables'!$G$32:$P$41, MATCH(G13, 'Lookup Tables'!$H$31:$P$31,1)+1, FALSE)</f>
        <v>#N/A</v>
      </c>
      <c r="AA13" s="36" t="str">
        <f t="shared" si="12"/>
        <v/>
      </c>
      <c r="AB13" s="36" t="str">
        <f t="shared" si="3"/>
        <v/>
      </c>
      <c r="AC13" s="36" t="str">
        <f t="shared" si="4"/>
        <v/>
      </c>
      <c r="AD13" s="36" t="str">
        <f t="shared" si="5"/>
        <v/>
      </c>
      <c r="AE13" s="15" t="str">
        <f t="shared" si="6"/>
        <v/>
      </c>
      <c r="AF13" s="15" t="str">
        <f t="shared" si="7"/>
        <v/>
      </c>
      <c r="AG13" s="16" t="str">
        <f t="shared" si="8"/>
        <v/>
      </c>
      <c r="AH13" s="14" t="b">
        <f t="shared" si="13"/>
        <v>0</v>
      </c>
      <c r="AI13" s="40" t="str">
        <f t="shared" si="9"/>
        <v/>
      </c>
      <c r="AJ13" s="129" t="str">
        <f t="array" ref="AJ13">IFERROR(INDEX($C$24:$O$33, MATCH(1, (L13=$C$24:$C$33)*(AH13=$D$24:$D$33), 0), 12), "")</f>
        <v/>
      </c>
      <c r="AK13" s="129" t="str">
        <f t="array" ref="AK13">IFERROR(INDEX($C$24:$O$33, MATCH(1, (L13=$C$24:$C$33)*(AH13=$D$24:$D$33), 0), 13), "")</f>
        <v/>
      </c>
      <c r="AL13" s="40" t="str">
        <f t="array" ref="AL13">IFERROR(INDEX($C$24:$O$33, MATCH(1, (L13=$C$24:$C$33)*(AH13=$D$24:$D$33), 0), 11), "")</f>
        <v/>
      </c>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row>
    <row r="14" spans="1:86" customFormat="1" ht="19.5" customHeight="1">
      <c r="A14" s="11"/>
      <c r="B14" s="17">
        <v>5</v>
      </c>
      <c r="C14" s="114" t="s">
        <v>140</v>
      </c>
      <c r="D14" s="31"/>
      <c r="E14" s="31"/>
      <c r="F14" s="31"/>
      <c r="G14" s="145" t="str">
        <f>IFERROR(VLOOKUP(F14, 'Lookup Tables'!$B$5:$C$2224, 2, FALSE), "")</f>
        <v/>
      </c>
      <c r="H14" s="13"/>
      <c r="I14" s="111"/>
      <c r="J14" s="111"/>
      <c r="K14" s="144"/>
      <c r="L14" s="110"/>
      <c r="M14" s="13"/>
      <c r="N14" s="13"/>
      <c r="O14" s="12"/>
      <c r="P14" s="12"/>
      <c r="Q14" s="356"/>
      <c r="R14" s="34" t="str">
        <f t="shared" si="0"/>
        <v/>
      </c>
      <c r="S14" s="37" t="str">
        <f t="shared" si="1"/>
        <v/>
      </c>
      <c r="T14" s="38" t="str">
        <f t="shared" si="10"/>
        <v/>
      </c>
      <c r="U14" s="111"/>
      <c r="V14" s="37" t="str">
        <f t="shared" si="2"/>
        <v/>
      </c>
      <c r="W14" s="38" t="str">
        <f t="shared" si="11"/>
        <v/>
      </c>
      <c r="X14" s="113"/>
      <c r="Y14" s="136" t="e">
        <f>VLOOKUP(E14,'Lookup Tables'!$G$46:$P$55, MATCH(G14, 'Lookup Tables'!$H$45:$P$45,1)+1, FALSE)</f>
        <v>#N/A</v>
      </c>
      <c r="Z14" s="137" t="e">
        <f>VLOOKUP(E14, 'Lookup Tables'!$G$32:$P$41, MATCH(G14, 'Lookup Tables'!$H$31:$P$31,1)+1, FALSE)</f>
        <v>#N/A</v>
      </c>
      <c r="AA14" s="36" t="str">
        <f t="shared" si="12"/>
        <v/>
      </c>
      <c r="AB14" s="36" t="str">
        <f t="shared" si="3"/>
        <v/>
      </c>
      <c r="AC14" s="36" t="str">
        <f t="shared" si="4"/>
        <v/>
      </c>
      <c r="AD14" s="36" t="str">
        <f t="shared" si="5"/>
        <v/>
      </c>
      <c r="AE14" s="15" t="str">
        <f t="shared" si="6"/>
        <v/>
      </c>
      <c r="AF14" s="15" t="str">
        <f t="shared" si="7"/>
        <v/>
      </c>
      <c r="AG14" s="16" t="str">
        <f t="shared" si="8"/>
        <v/>
      </c>
      <c r="AH14" s="14" t="b">
        <f t="shared" si="13"/>
        <v>0</v>
      </c>
      <c r="AI14" s="40" t="str">
        <f t="shared" si="9"/>
        <v/>
      </c>
      <c r="AJ14" s="129" t="str">
        <f t="array" ref="AJ14">IFERROR(INDEX($C$24:$O$33, MATCH(1, (L14=$C$24:$C$33)*(AH14=$D$24:$D$33), 0), 12), "")</f>
        <v/>
      </c>
      <c r="AK14" s="129" t="str">
        <f t="array" ref="AK14">IFERROR(INDEX($C$24:$O$33, MATCH(1, (L14=$C$24:$C$33)*(AH14=$D$24:$D$33), 0), 13), "")</f>
        <v/>
      </c>
      <c r="AL14" s="40" t="str">
        <f t="array" ref="AL14">IFERROR(INDEX($C$24:$O$33, MATCH(1, (L14=$C$24:$C$33)*(AH14=$D$24:$D$33), 0), 11), "")</f>
        <v/>
      </c>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row>
    <row r="15" spans="1:86" customFormat="1" ht="19.5" customHeight="1">
      <c r="A15" s="11"/>
      <c r="B15" s="17">
        <v>6</v>
      </c>
      <c r="C15" s="114" t="s">
        <v>140</v>
      </c>
      <c r="D15" s="31"/>
      <c r="E15" s="31"/>
      <c r="F15" s="31"/>
      <c r="G15" s="145" t="str">
        <f>IFERROR(VLOOKUP(F15, 'Lookup Tables'!$B$5:$C$2224, 2, FALSE), "")</f>
        <v/>
      </c>
      <c r="H15" s="13"/>
      <c r="I15" s="111"/>
      <c r="J15" s="111"/>
      <c r="K15" s="144"/>
      <c r="L15" s="110"/>
      <c r="M15" s="13"/>
      <c r="N15" s="13"/>
      <c r="O15" s="12"/>
      <c r="P15" s="12"/>
      <c r="Q15" s="356"/>
      <c r="R15" s="34" t="str">
        <f t="shared" si="0"/>
        <v/>
      </c>
      <c r="S15" s="37" t="str">
        <f t="shared" si="1"/>
        <v/>
      </c>
      <c r="T15" s="38" t="str">
        <f t="shared" si="10"/>
        <v/>
      </c>
      <c r="U15" s="111"/>
      <c r="V15" s="37" t="str">
        <f t="shared" si="2"/>
        <v/>
      </c>
      <c r="W15" s="38" t="str">
        <f t="shared" si="11"/>
        <v/>
      </c>
      <c r="X15" s="113"/>
      <c r="Y15" s="136" t="e">
        <f>VLOOKUP(E15,'Lookup Tables'!$G$46:$P$55, MATCH(G15, 'Lookup Tables'!$H$45:$P$45,1)+1, FALSE)</f>
        <v>#N/A</v>
      </c>
      <c r="Z15" s="137" t="e">
        <f>VLOOKUP(E15, 'Lookup Tables'!$G$32:$P$41, MATCH(G15, 'Lookup Tables'!$H$31:$P$31,1)+1, FALSE)</f>
        <v>#N/A</v>
      </c>
      <c r="AA15" s="36" t="str">
        <f t="shared" si="12"/>
        <v/>
      </c>
      <c r="AB15" s="36" t="str">
        <f t="shared" si="3"/>
        <v/>
      </c>
      <c r="AC15" s="36" t="str">
        <f t="shared" si="4"/>
        <v/>
      </c>
      <c r="AD15" s="36" t="str">
        <f t="shared" si="5"/>
        <v/>
      </c>
      <c r="AE15" s="15" t="str">
        <f t="shared" si="6"/>
        <v/>
      </c>
      <c r="AF15" s="15" t="str">
        <f t="shared" si="7"/>
        <v/>
      </c>
      <c r="AG15" s="16" t="str">
        <f t="shared" si="8"/>
        <v/>
      </c>
      <c r="AH15" s="14" t="b">
        <f t="shared" si="13"/>
        <v>0</v>
      </c>
      <c r="AI15" s="40" t="str">
        <f t="shared" si="9"/>
        <v/>
      </c>
      <c r="AJ15" s="129" t="str">
        <f t="array" ref="AJ15">IFERROR(INDEX($C$24:$O$33, MATCH(1, (L15=$C$24:$C$33)*(AH15=$D$24:$D$33), 0), 12), "")</f>
        <v/>
      </c>
      <c r="AK15" s="129" t="str">
        <f t="array" ref="AK15">IFERROR(INDEX($C$24:$O$33, MATCH(1, (L15=$C$24:$C$33)*(AH15=$D$24:$D$33), 0), 13), "")</f>
        <v/>
      </c>
      <c r="AL15" s="40" t="str">
        <f t="array" ref="AL15">IFERROR(INDEX($C$24:$O$33, MATCH(1, (L15=$C$24:$C$33)*(AH15=$D$24:$D$33), 0), 11), "")</f>
        <v/>
      </c>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row>
    <row r="16" spans="1:86" customFormat="1" ht="19.5" customHeight="1">
      <c r="A16" s="11"/>
      <c r="B16" s="17">
        <v>7</v>
      </c>
      <c r="C16" s="114" t="s">
        <v>140</v>
      </c>
      <c r="D16" s="31"/>
      <c r="E16" s="31"/>
      <c r="F16" s="31"/>
      <c r="G16" s="145" t="str">
        <f>IFERROR(VLOOKUP(F16, 'Lookup Tables'!$B$5:$C$2224, 2, FALSE), "")</f>
        <v/>
      </c>
      <c r="H16" s="13"/>
      <c r="I16" s="111"/>
      <c r="J16" s="111"/>
      <c r="K16" s="144"/>
      <c r="L16" s="110"/>
      <c r="M16" s="13"/>
      <c r="N16" s="13"/>
      <c r="O16" s="12"/>
      <c r="P16" s="12"/>
      <c r="Q16" s="356"/>
      <c r="R16" s="34" t="str">
        <f t="shared" si="0"/>
        <v/>
      </c>
      <c r="S16" s="37" t="str">
        <f t="shared" si="1"/>
        <v/>
      </c>
      <c r="T16" s="38" t="str">
        <f t="shared" si="10"/>
        <v/>
      </c>
      <c r="U16" s="111"/>
      <c r="V16" s="37" t="str">
        <f t="shared" si="2"/>
        <v/>
      </c>
      <c r="W16" s="38" t="str">
        <f t="shared" si="11"/>
        <v/>
      </c>
      <c r="X16" s="113"/>
      <c r="Y16" s="136" t="e">
        <f>VLOOKUP(E16,'Lookup Tables'!$G$46:$P$55, MATCH(G16, 'Lookup Tables'!$H$45:$P$45,1)+1, FALSE)</f>
        <v>#N/A</v>
      </c>
      <c r="Z16" s="137" t="e">
        <f>VLOOKUP(E16, 'Lookup Tables'!$G$32:$P$41, MATCH(G16, 'Lookup Tables'!$H$31:$P$31,1)+1, FALSE)</f>
        <v>#N/A</v>
      </c>
      <c r="AA16" s="36" t="str">
        <f t="shared" si="12"/>
        <v/>
      </c>
      <c r="AB16" s="36" t="str">
        <f t="shared" si="3"/>
        <v/>
      </c>
      <c r="AC16" s="36" t="str">
        <f t="shared" si="4"/>
        <v/>
      </c>
      <c r="AD16" s="36" t="str">
        <f t="shared" si="5"/>
        <v/>
      </c>
      <c r="AE16" s="15" t="str">
        <f t="shared" si="6"/>
        <v/>
      </c>
      <c r="AF16" s="15" t="str">
        <f t="shared" si="7"/>
        <v/>
      </c>
      <c r="AG16" s="16" t="str">
        <f t="shared" si="8"/>
        <v/>
      </c>
      <c r="AH16" s="14" t="b">
        <f t="shared" si="13"/>
        <v>0</v>
      </c>
      <c r="AI16" s="40" t="str">
        <f t="shared" si="9"/>
        <v/>
      </c>
      <c r="AJ16" s="129" t="str">
        <f t="array" ref="AJ16">IFERROR(INDEX($C$24:$O$33, MATCH(1, (L16=$C$24:$C$33)*(AH16=$D$24:$D$33), 0), 12), "")</f>
        <v/>
      </c>
      <c r="AK16" s="129" t="str">
        <f t="array" ref="AK16">IFERROR(INDEX($C$24:$O$33, MATCH(1, (L16=$C$24:$C$33)*(AH16=$D$24:$D$33), 0), 13), "")</f>
        <v/>
      </c>
      <c r="AL16" s="40" t="str">
        <f t="array" ref="AL16">IFERROR(INDEX($C$24:$O$33, MATCH(1, (L16=$C$24:$C$33)*(AH16=$D$24:$D$33), 0), 11), "")</f>
        <v/>
      </c>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row>
    <row r="17" spans="1:88" customFormat="1" ht="19.5" customHeight="1">
      <c r="A17" s="11"/>
      <c r="B17" s="17">
        <v>8</v>
      </c>
      <c r="C17" s="114" t="s">
        <v>140</v>
      </c>
      <c r="D17" s="31"/>
      <c r="E17" s="31"/>
      <c r="F17" s="31"/>
      <c r="G17" s="145" t="str">
        <f>IFERROR(VLOOKUP(F17, 'Lookup Tables'!$B$5:$C$2224, 2, FALSE), "")</f>
        <v/>
      </c>
      <c r="H17" s="13"/>
      <c r="I17" s="111"/>
      <c r="J17" s="111"/>
      <c r="K17" s="144"/>
      <c r="L17" s="110"/>
      <c r="M17" s="13"/>
      <c r="N17" s="13"/>
      <c r="O17" s="12"/>
      <c r="P17" s="12"/>
      <c r="Q17" s="356"/>
      <c r="R17" s="34" t="str">
        <f t="shared" si="0"/>
        <v/>
      </c>
      <c r="S17" s="37" t="str">
        <f t="shared" si="1"/>
        <v/>
      </c>
      <c r="T17" s="38" t="str">
        <f t="shared" si="10"/>
        <v/>
      </c>
      <c r="U17" s="111"/>
      <c r="V17" s="37" t="str">
        <f t="shared" si="2"/>
        <v/>
      </c>
      <c r="W17" s="38" t="str">
        <f t="shared" si="11"/>
        <v/>
      </c>
      <c r="X17" s="113"/>
      <c r="Y17" s="136" t="e">
        <f>VLOOKUP(E17,'Lookup Tables'!$G$46:$P$55, MATCH(G17, 'Lookup Tables'!$H$45:$P$45,1)+1, FALSE)</f>
        <v>#N/A</v>
      </c>
      <c r="Z17" s="137" t="e">
        <f>VLOOKUP(E17, 'Lookup Tables'!$G$32:$P$41, MATCH(G17, 'Lookup Tables'!$H$31:$P$31,1)+1, FALSE)</f>
        <v>#N/A</v>
      </c>
      <c r="AA17" s="36" t="str">
        <f t="shared" si="12"/>
        <v/>
      </c>
      <c r="AB17" s="36" t="str">
        <f t="shared" si="3"/>
        <v/>
      </c>
      <c r="AC17" s="36" t="str">
        <f t="shared" si="4"/>
        <v/>
      </c>
      <c r="AD17" s="36" t="str">
        <f t="shared" si="5"/>
        <v/>
      </c>
      <c r="AE17" s="15" t="str">
        <f t="shared" si="6"/>
        <v/>
      </c>
      <c r="AF17" s="15" t="str">
        <f t="shared" si="7"/>
        <v/>
      </c>
      <c r="AG17" s="16" t="str">
        <f t="shared" si="8"/>
        <v/>
      </c>
      <c r="AH17" s="14" t="b">
        <f t="shared" si="13"/>
        <v>0</v>
      </c>
      <c r="AI17" s="40" t="str">
        <f t="shared" si="9"/>
        <v/>
      </c>
      <c r="AJ17" s="129" t="str">
        <f t="array" ref="AJ17">IFERROR(INDEX($C$24:$O$33, MATCH(1, (L17=$C$24:$C$33)*(AH17=$D$24:$D$33), 0), 12), "")</f>
        <v/>
      </c>
      <c r="AK17" s="129" t="str">
        <f t="array" ref="AK17">IFERROR(INDEX($C$24:$O$33, MATCH(1, (L17=$C$24:$C$33)*(AH17=$D$24:$D$33), 0), 13), "")</f>
        <v/>
      </c>
      <c r="AL17" s="40" t="str">
        <f t="array" ref="AL17">IFERROR(INDEX($C$24:$O$33, MATCH(1, (L17=$C$24:$C$33)*(AH17=$D$24:$D$33), 0), 11), "")</f>
        <v/>
      </c>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row>
    <row r="18" spans="1:88" customFormat="1" ht="3.75" customHeight="1">
      <c r="A18" s="11"/>
      <c r="B18" s="179"/>
      <c r="C18" s="180"/>
      <c r="D18" s="179"/>
      <c r="E18" s="179"/>
      <c r="F18" s="179"/>
      <c r="G18" s="180"/>
      <c r="H18" s="179"/>
      <c r="I18" s="179"/>
      <c r="J18" s="179"/>
      <c r="K18" s="181"/>
      <c r="L18" s="179"/>
      <c r="M18" s="179"/>
      <c r="N18" s="179"/>
      <c r="O18" s="179"/>
      <c r="P18" s="179"/>
      <c r="Q18" s="179"/>
      <c r="R18" s="179"/>
      <c r="S18" s="179"/>
      <c r="T18" s="179"/>
      <c r="U18" s="179"/>
      <c r="V18" s="179"/>
      <c r="W18" s="179"/>
      <c r="X18" s="180"/>
      <c r="Y18" s="179"/>
      <c r="Z18" s="179"/>
      <c r="AA18" s="179"/>
      <c r="AB18" s="179"/>
      <c r="AC18" s="179"/>
      <c r="AD18" s="179"/>
      <c r="AE18" s="179"/>
      <c r="AF18" s="179"/>
      <c r="AG18" s="179"/>
      <c r="AH18" s="179"/>
      <c r="AI18" s="179"/>
      <c r="AJ18" s="179"/>
      <c r="AK18" s="179"/>
      <c r="AL18" s="179"/>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row>
    <row r="19" spans="1:88" customFormat="1" ht="21" customHeight="1" thickBo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row>
    <row r="20" spans="1:88" customFormat="1">
      <c r="A20" s="147"/>
      <c r="B20" s="147"/>
      <c r="C20" s="720" t="s">
        <v>141</v>
      </c>
      <c r="D20" s="721"/>
      <c r="E20" s="721"/>
      <c r="F20" s="721"/>
      <c r="G20" s="721"/>
      <c r="H20" s="721"/>
      <c r="I20" s="721"/>
      <c r="J20" s="721"/>
      <c r="K20" s="721"/>
      <c r="L20" s="721"/>
      <c r="M20" s="721"/>
      <c r="N20" s="721"/>
      <c r="O20" s="722"/>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row>
    <row r="21" spans="1:88" customFormat="1" ht="15" customHeight="1">
      <c r="A21" s="147"/>
      <c r="B21" s="147"/>
      <c r="C21" s="728"/>
      <c r="D21" s="729"/>
      <c r="E21" s="708" t="s">
        <v>142</v>
      </c>
      <c r="F21" s="708"/>
      <c r="G21" s="708"/>
      <c r="H21" s="708"/>
      <c r="I21" s="708" t="s">
        <v>98</v>
      </c>
      <c r="J21" s="708"/>
      <c r="K21" s="708"/>
      <c r="L21" s="708"/>
      <c r="M21" s="713"/>
      <c r="N21" s="714"/>
      <c r="O21" s="715"/>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row>
    <row r="22" spans="1:88" customFormat="1">
      <c r="A22" s="147"/>
      <c r="B22" s="147"/>
      <c r="C22" s="730"/>
      <c r="D22" s="731"/>
      <c r="E22" s="703" t="s">
        <v>100</v>
      </c>
      <c r="F22" s="703"/>
      <c r="G22" s="703" t="s">
        <v>101</v>
      </c>
      <c r="H22" s="703"/>
      <c r="I22" s="703" t="s">
        <v>100</v>
      </c>
      <c r="J22" s="703"/>
      <c r="K22" s="703" t="s">
        <v>101</v>
      </c>
      <c r="L22" s="703"/>
      <c r="M22" s="716"/>
      <c r="N22" s="717"/>
      <c r="O22" s="718"/>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row>
    <row r="23" spans="1:88" customFormat="1">
      <c r="A23" s="147"/>
      <c r="B23" s="147"/>
      <c r="C23" s="92" t="s">
        <v>103</v>
      </c>
      <c r="D23" s="464" t="s">
        <v>104</v>
      </c>
      <c r="E23" s="454" t="s">
        <v>102</v>
      </c>
      <c r="F23" s="454" t="s">
        <v>105</v>
      </c>
      <c r="G23" s="454" t="s">
        <v>102</v>
      </c>
      <c r="H23" s="454" t="s">
        <v>105</v>
      </c>
      <c r="I23" s="454" t="s">
        <v>102</v>
      </c>
      <c r="J23" s="454" t="s">
        <v>105</v>
      </c>
      <c r="K23" s="454" t="s">
        <v>102</v>
      </c>
      <c r="L23" s="454" t="s">
        <v>105</v>
      </c>
      <c r="M23" s="26" t="s">
        <v>134</v>
      </c>
      <c r="N23" s="26" t="s">
        <v>132</v>
      </c>
      <c r="O23" s="352" t="s">
        <v>143</v>
      </c>
      <c r="P23" s="23" t="s">
        <v>144</v>
      </c>
      <c r="Q23" s="23" t="s">
        <v>145</v>
      </c>
      <c r="R23" s="11"/>
      <c r="S23" s="11"/>
      <c r="T23" s="284" t="s">
        <v>96</v>
      </c>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row>
    <row r="24" spans="1:88" customFormat="1">
      <c r="A24" s="147"/>
      <c r="B24" s="147"/>
      <c r="C24" s="93" t="s">
        <v>146</v>
      </c>
      <c r="D24" s="83" t="s">
        <v>147</v>
      </c>
      <c r="E24" s="100">
        <v>0.75</v>
      </c>
      <c r="F24" s="100">
        <v>0.6</v>
      </c>
      <c r="G24" s="100">
        <v>0.78</v>
      </c>
      <c r="H24" s="100">
        <v>0.5</v>
      </c>
      <c r="I24" s="360">
        <v>0.70200000000000007</v>
      </c>
      <c r="J24" s="360">
        <v>0.56700000000000006</v>
      </c>
      <c r="K24" s="360">
        <v>0.72000000000000008</v>
      </c>
      <c r="L24" s="360">
        <v>0.54</v>
      </c>
      <c r="M24" s="357" t="s">
        <v>148</v>
      </c>
      <c r="N24" s="25" t="s">
        <v>149</v>
      </c>
      <c r="O24" s="353" t="s">
        <v>150</v>
      </c>
      <c r="P24" s="23">
        <v>0</v>
      </c>
      <c r="Q24" s="23">
        <v>75</v>
      </c>
      <c r="R24" s="11"/>
      <c r="S24" s="11"/>
      <c r="T24" s="1" t="s">
        <v>99</v>
      </c>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row>
    <row r="25" spans="1:88" customFormat="1">
      <c r="A25" s="147"/>
      <c r="B25" s="147"/>
      <c r="C25" s="93" t="s">
        <v>146</v>
      </c>
      <c r="D25" s="83" t="s">
        <v>151</v>
      </c>
      <c r="E25" s="100">
        <v>0.72</v>
      </c>
      <c r="F25" s="100">
        <v>0.56000000000000005</v>
      </c>
      <c r="G25" s="100">
        <v>0.75</v>
      </c>
      <c r="H25" s="100">
        <v>0.49</v>
      </c>
      <c r="I25" s="360">
        <v>0.69750000000000001</v>
      </c>
      <c r="J25" s="360">
        <v>0.55349999999999999</v>
      </c>
      <c r="K25" s="360">
        <v>0.71100000000000008</v>
      </c>
      <c r="L25" s="360">
        <v>0.52739999999999998</v>
      </c>
      <c r="M25" s="357" t="s">
        <v>152</v>
      </c>
      <c r="N25" s="25" t="s">
        <v>153</v>
      </c>
      <c r="O25" s="353" t="s">
        <v>150</v>
      </c>
      <c r="P25" s="23">
        <f>Q24</f>
        <v>75</v>
      </c>
      <c r="Q25" s="23">
        <v>150</v>
      </c>
      <c r="R25" s="11"/>
      <c r="S25" s="11"/>
      <c r="T25" s="1" t="s">
        <v>102</v>
      </c>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row>
    <row r="26" spans="1:88" customFormat="1">
      <c r="A26" s="147"/>
      <c r="B26" s="147"/>
      <c r="C26" s="93" t="s">
        <v>146</v>
      </c>
      <c r="D26" s="83" t="s">
        <v>154</v>
      </c>
      <c r="E26" s="100">
        <v>0.66</v>
      </c>
      <c r="F26" s="100">
        <v>0.54</v>
      </c>
      <c r="G26" s="100">
        <v>0.68</v>
      </c>
      <c r="H26" s="100">
        <v>0.44</v>
      </c>
      <c r="I26" s="360">
        <v>0.6120000000000001</v>
      </c>
      <c r="J26" s="360">
        <v>0.52200000000000002</v>
      </c>
      <c r="K26" s="360">
        <v>0.6462</v>
      </c>
      <c r="L26" s="360">
        <v>0.48600000000000004</v>
      </c>
      <c r="M26" s="357" t="s">
        <v>155</v>
      </c>
      <c r="N26" s="25" t="s">
        <v>156</v>
      </c>
      <c r="O26" s="353" t="s">
        <v>150</v>
      </c>
      <c r="P26" s="23">
        <f t="shared" ref="P26:P33" si="14">Q25</f>
        <v>150</v>
      </c>
      <c r="Q26" s="23">
        <v>300</v>
      </c>
      <c r="R26" s="11"/>
      <c r="S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row>
    <row r="27" spans="1:88" customFormat="1">
      <c r="A27" s="147"/>
      <c r="B27" s="147"/>
      <c r="C27" s="93" t="s">
        <v>146</v>
      </c>
      <c r="D27" s="83" t="s">
        <v>157</v>
      </c>
      <c r="E27" s="100">
        <v>0.61</v>
      </c>
      <c r="F27" s="100">
        <v>0.52</v>
      </c>
      <c r="G27" s="100">
        <v>0.625</v>
      </c>
      <c r="H27" s="100">
        <v>0.41</v>
      </c>
      <c r="I27" s="360">
        <v>0.55800000000000005</v>
      </c>
      <c r="J27" s="360">
        <v>0.48600000000000004</v>
      </c>
      <c r="K27" s="360">
        <v>0.57510000000000006</v>
      </c>
      <c r="L27" s="360">
        <v>0.441</v>
      </c>
      <c r="M27" s="357" t="s">
        <v>158</v>
      </c>
      <c r="N27" s="25" t="s">
        <v>159</v>
      </c>
      <c r="O27" s="353" t="s">
        <v>150</v>
      </c>
      <c r="P27" s="23">
        <f t="shared" si="14"/>
        <v>300</v>
      </c>
      <c r="Q27" s="23">
        <v>600</v>
      </c>
      <c r="R27" s="11"/>
      <c r="S27" s="11"/>
      <c r="T27" s="284" t="s">
        <v>160</v>
      </c>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row>
    <row r="28" spans="1:88" customFormat="1">
      <c r="A28" s="147"/>
      <c r="B28" s="147"/>
      <c r="C28" s="93" t="s">
        <v>146</v>
      </c>
      <c r="D28" s="83" t="s">
        <v>161</v>
      </c>
      <c r="E28" s="100">
        <v>0.56000000000000005</v>
      </c>
      <c r="F28" s="100">
        <v>0.5</v>
      </c>
      <c r="G28" s="100">
        <v>0.58499999999999996</v>
      </c>
      <c r="H28" s="100">
        <v>0.38</v>
      </c>
      <c r="I28" s="360">
        <v>0.55800000000000005</v>
      </c>
      <c r="J28" s="360">
        <v>0.48600000000000004</v>
      </c>
      <c r="K28" s="360">
        <v>0.57510000000000006</v>
      </c>
      <c r="L28" s="360">
        <v>0.441</v>
      </c>
      <c r="M28" s="357"/>
      <c r="N28" s="25" t="s">
        <v>162</v>
      </c>
      <c r="O28" s="353" t="s">
        <v>150</v>
      </c>
      <c r="P28" s="23">
        <f t="shared" si="14"/>
        <v>600</v>
      </c>
      <c r="Q28" s="23">
        <v>5000</v>
      </c>
      <c r="R28" s="11"/>
      <c r="S28" s="11"/>
      <c r="T28" s="24">
        <v>22.5</v>
      </c>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row>
    <row r="29" spans="1:88" customFormat="1">
      <c r="A29" s="147"/>
      <c r="B29" s="93" t="s">
        <v>146</v>
      </c>
      <c r="C29" s="93" t="s">
        <v>163</v>
      </c>
      <c r="D29" s="83" t="s">
        <v>107</v>
      </c>
      <c r="E29" s="329">
        <v>0.61</v>
      </c>
      <c r="F29" s="329">
        <v>0.55000000000000004</v>
      </c>
      <c r="G29" s="329">
        <v>0.69499999999999995</v>
      </c>
      <c r="H29" s="329">
        <v>0.44</v>
      </c>
      <c r="I29" s="360">
        <v>0.5706</v>
      </c>
      <c r="J29" s="360">
        <v>0.53639999999999999</v>
      </c>
      <c r="K29" s="360">
        <v>0.57510000000000006</v>
      </c>
      <c r="L29" s="360">
        <v>0.40500000000000003</v>
      </c>
      <c r="M29" s="357" t="s">
        <v>164</v>
      </c>
      <c r="N29" s="25" t="s">
        <v>165</v>
      </c>
      <c r="O29" s="353" t="s">
        <v>150</v>
      </c>
      <c r="P29" s="23">
        <v>0</v>
      </c>
      <c r="Q29" s="23">
        <v>150</v>
      </c>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row>
    <row r="30" spans="1:88" customFormat="1">
      <c r="A30" s="147"/>
      <c r="B30" s="147"/>
      <c r="C30" s="93" t="s">
        <v>163</v>
      </c>
      <c r="D30" s="83" t="s">
        <v>154</v>
      </c>
      <c r="E30" s="329">
        <v>0.61</v>
      </c>
      <c r="F30" s="329">
        <v>0.55000000000000004</v>
      </c>
      <c r="G30" s="329">
        <v>0.63500000000000001</v>
      </c>
      <c r="H30" s="329">
        <v>0.4</v>
      </c>
      <c r="I30" s="360">
        <v>0.5706</v>
      </c>
      <c r="J30" s="360">
        <v>0.53639999999999999</v>
      </c>
      <c r="K30" s="360">
        <v>0.57510000000000006</v>
      </c>
      <c r="L30" s="360">
        <v>0.40500000000000003</v>
      </c>
      <c r="M30" s="357" t="s">
        <v>166</v>
      </c>
      <c r="N30" s="25" t="s">
        <v>167</v>
      </c>
      <c r="O30" s="353" t="s">
        <v>150</v>
      </c>
      <c r="P30" s="23">
        <f t="shared" si="14"/>
        <v>150</v>
      </c>
      <c r="Q30" s="23">
        <v>300</v>
      </c>
      <c r="R30" s="11"/>
      <c r="S30" s="11"/>
      <c r="T30" s="284" t="s">
        <v>168</v>
      </c>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row>
    <row r="31" spans="1:88" customFormat="1">
      <c r="A31" s="147"/>
      <c r="B31" s="147"/>
      <c r="C31" s="93" t="s">
        <v>163</v>
      </c>
      <c r="D31" s="83" t="s">
        <v>169</v>
      </c>
      <c r="E31" s="329">
        <v>0.56000000000000005</v>
      </c>
      <c r="F31" s="329">
        <v>0.52</v>
      </c>
      <c r="G31" s="330">
        <v>0.59499999999999997</v>
      </c>
      <c r="H31" s="329">
        <v>0.39</v>
      </c>
      <c r="I31" s="360">
        <v>0.51839999999999997</v>
      </c>
      <c r="J31" s="360">
        <v>0.49410000000000004</v>
      </c>
      <c r="K31" s="360">
        <v>0.54</v>
      </c>
      <c r="L31" s="360">
        <v>0.36000000000000004</v>
      </c>
      <c r="M31" s="357" t="s">
        <v>170</v>
      </c>
      <c r="N31" s="25" t="s">
        <v>171</v>
      </c>
      <c r="O31" s="353" t="s">
        <v>150</v>
      </c>
      <c r="P31" s="23">
        <f t="shared" si="14"/>
        <v>300</v>
      </c>
      <c r="Q31" s="23">
        <v>400</v>
      </c>
      <c r="R31" s="11"/>
      <c r="S31" s="11"/>
      <c r="T31" s="43">
        <v>20</v>
      </c>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row>
    <row r="32" spans="1:88" customFormat="1">
      <c r="A32" s="147"/>
      <c r="B32" s="147"/>
      <c r="C32" s="93" t="s">
        <v>163</v>
      </c>
      <c r="D32" s="83" t="s">
        <v>172</v>
      </c>
      <c r="E32" s="329">
        <v>0.56000000000000005</v>
      </c>
      <c r="F32" s="329">
        <v>0.5</v>
      </c>
      <c r="G32" s="329">
        <v>0.58499999999999996</v>
      </c>
      <c r="H32" s="329">
        <v>0.38</v>
      </c>
      <c r="I32" s="360">
        <v>0.51839999999999997</v>
      </c>
      <c r="J32" s="360">
        <v>0.49410000000000004</v>
      </c>
      <c r="K32" s="360">
        <v>0.54</v>
      </c>
      <c r="L32" s="360">
        <v>0.36000000000000004</v>
      </c>
      <c r="M32" s="358"/>
      <c r="N32" s="25" t="s">
        <v>173</v>
      </c>
      <c r="O32" s="354" t="s">
        <v>150</v>
      </c>
      <c r="P32" s="23">
        <f t="shared" si="14"/>
        <v>400</v>
      </c>
      <c r="Q32" s="23">
        <v>600</v>
      </c>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row>
    <row r="33" spans="1:88" customFormat="1" ht="15.75" thickBot="1">
      <c r="A33" s="147"/>
      <c r="B33" s="147"/>
      <c r="C33" s="102" t="s">
        <v>163</v>
      </c>
      <c r="D33" s="285" t="s">
        <v>161</v>
      </c>
      <c r="E33" s="329">
        <v>0.56000000000000005</v>
      </c>
      <c r="F33" s="329">
        <v>0.5</v>
      </c>
      <c r="G33" s="329">
        <v>0.58499999999999996</v>
      </c>
      <c r="H33" s="329">
        <v>0.38</v>
      </c>
      <c r="I33" s="361">
        <v>0.51300000000000001</v>
      </c>
      <c r="J33" s="361">
        <v>0.48510000000000003</v>
      </c>
      <c r="K33" s="361">
        <v>0.53100000000000003</v>
      </c>
      <c r="L33" s="361">
        <v>0.36000000000000004</v>
      </c>
      <c r="M33" s="359" t="s">
        <v>174</v>
      </c>
      <c r="N33" s="128" t="s">
        <v>175</v>
      </c>
      <c r="O33" s="355" t="s">
        <v>150</v>
      </c>
      <c r="P33" s="23">
        <f t="shared" si="14"/>
        <v>600</v>
      </c>
      <c r="Q33" s="23">
        <v>5000</v>
      </c>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row>
    <row r="34" spans="1:88" customForma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row>
    <row r="35" spans="1:88" customForma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row>
    <row r="36" spans="1:88" customForma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row>
    <row r="37" spans="1:88" customFormat="1" ht="15.75">
      <c r="A37" s="11"/>
      <c r="B37" s="11"/>
      <c r="C37" s="726" t="s">
        <v>176</v>
      </c>
      <c r="D37" s="726"/>
      <c r="E37" s="726"/>
      <c r="F37" s="726"/>
      <c r="G37" s="726"/>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row>
    <row r="38" spans="1:88" customForma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row>
    <row r="39" spans="1:88" customFormat="1" ht="1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row>
    <row r="40" spans="1:88" customForma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row>
    <row r="41" spans="1:88" customForma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row>
    <row r="42" spans="1:88" customForma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row>
    <row r="43" spans="1:88" customForma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row>
    <row r="44" spans="1:88" customForma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row>
    <row r="45" spans="1:88">
      <c r="A45" s="115"/>
      <c r="B45" s="115"/>
      <c r="C45" s="11"/>
      <c r="D45" s="11"/>
      <c r="E45" s="11"/>
      <c r="F45" s="11"/>
      <c r="G45" s="11"/>
      <c r="H45" s="11"/>
      <c r="I45" s="11"/>
      <c r="J45" s="11"/>
      <c r="K45" s="11"/>
      <c r="L45" s="11"/>
      <c r="M45" s="11"/>
      <c r="N45" s="11"/>
      <c r="O45" s="11"/>
      <c r="P45" s="11"/>
      <c r="Q45" s="11"/>
      <c r="R45" s="115"/>
      <c r="S45" s="115"/>
      <c r="T45" s="115"/>
      <c r="U45" s="115"/>
      <c r="V45" s="115"/>
      <c r="W45" s="115"/>
      <c r="X45" s="115"/>
      <c r="Y45" s="115"/>
      <c r="Z45" s="115"/>
      <c r="AA45" s="115"/>
      <c r="AB45" s="115"/>
      <c r="AC45" s="115"/>
      <c r="AD45" s="115"/>
      <c r="AE45" s="115"/>
      <c r="AF45" s="115"/>
      <c r="AG45" s="115"/>
      <c r="AH45" s="115"/>
      <c r="AI45" s="115"/>
      <c r="AJ45" s="115"/>
      <c r="AK45" s="115"/>
      <c r="AL45" s="11"/>
      <c r="AM45" s="115"/>
      <c r="AN45" s="115"/>
      <c r="AO45" s="115"/>
      <c r="AP45" s="115"/>
      <c r="AQ45" s="115"/>
      <c r="AR45" s="115"/>
      <c r="AS45" s="115"/>
      <c r="AT45" s="115"/>
      <c r="AU45" s="115"/>
      <c r="AV45" s="115"/>
      <c r="AW45" s="115"/>
      <c r="AX45" s="11"/>
      <c r="AY45" s="11"/>
      <c r="AZ45" s="11"/>
      <c r="BA45" s="11"/>
      <c r="BB45" s="11"/>
      <c r="BC45" s="11"/>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row>
    <row r="46" spans="1:88">
      <c r="A46" s="115"/>
      <c r="B46" s="115"/>
      <c r="C46" s="11"/>
      <c r="D46" s="11"/>
      <c r="E46" s="11"/>
      <c r="F46" s="11"/>
      <c r="G46" s="11"/>
      <c r="H46" s="11"/>
      <c r="I46" s="11"/>
      <c r="J46" s="11"/>
      <c r="K46" s="11"/>
      <c r="L46" s="11"/>
      <c r="M46" s="11"/>
      <c r="N46" s="11"/>
      <c r="O46" s="11"/>
      <c r="P46" s="11"/>
      <c r="Q46" s="11"/>
      <c r="R46" s="115"/>
      <c r="S46" s="115"/>
      <c r="T46" s="115"/>
      <c r="U46" s="115"/>
      <c r="V46" s="115"/>
      <c r="W46" s="115"/>
      <c r="X46" s="115"/>
      <c r="Y46" s="115"/>
      <c r="Z46" s="115"/>
      <c r="AA46" s="115"/>
      <c r="AB46" s="115"/>
      <c r="AC46" s="115"/>
      <c r="AD46" s="115"/>
      <c r="AE46" s="115"/>
      <c r="AF46" s="115"/>
      <c r="AG46" s="115"/>
      <c r="AH46" s="115"/>
      <c r="AI46" s="115"/>
      <c r="AJ46" s="115"/>
      <c r="AK46" s="115"/>
      <c r="AL46" s="11"/>
      <c r="AM46" s="115"/>
      <c r="AN46" s="115"/>
      <c r="AO46" s="115"/>
      <c r="AP46" s="115"/>
      <c r="AQ46" s="115"/>
      <c r="AR46" s="115"/>
      <c r="AS46" s="115"/>
      <c r="AT46" s="115"/>
      <c r="AU46" s="115"/>
      <c r="AV46" s="115"/>
      <c r="AW46" s="115"/>
      <c r="AX46" s="11"/>
      <c r="AY46" s="11"/>
      <c r="AZ46" s="11"/>
      <c r="BA46" s="11"/>
      <c r="BB46" s="11"/>
      <c r="BC46" s="11"/>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row>
    <row r="47" spans="1:88">
      <c r="A47" s="115"/>
      <c r="B47" s="115"/>
      <c r="C47" s="11"/>
      <c r="D47" s="11"/>
      <c r="E47" s="11"/>
      <c r="F47" s="11"/>
      <c r="G47" s="11"/>
      <c r="H47" s="11"/>
      <c r="I47" s="11"/>
      <c r="J47" s="11"/>
      <c r="K47" s="11"/>
      <c r="L47" s="11"/>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
      <c r="AM47" s="115"/>
      <c r="AN47" s="115"/>
      <c r="AO47" s="115"/>
      <c r="AP47" s="115"/>
      <c r="AQ47" s="115"/>
      <c r="AR47" s="115"/>
      <c r="AS47" s="115"/>
      <c r="AT47" s="115"/>
      <c r="AU47" s="115"/>
      <c r="AV47" s="115"/>
      <c r="AW47" s="115"/>
      <c r="AX47" s="11"/>
      <c r="AY47" s="11"/>
      <c r="AZ47" s="11"/>
      <c r="BA47" s="11"/>
      <c r="BB47" s="11"/>
      <c r="BC47" s="11"/>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row>
    <row r="48" spans="1:88">
      <c r="A48" s="115"/>
      <c r="B48" s="115"/>
      <c r="C48" s="11"/>
      <c r="D48" s="11"/>
      <c r="E48" s="11"/>
      <c r="F48" s="11"/>
      <c r="G48" s="11"/>
      <c r="H48" s="11"/>
      <c r="I48" s="11"/>
      <c r="J48" s="11"/>
      <c r="K48" s="11"/>
      <c r="L48" s="11"/>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
      <c r="AM48" s="115"/>
      <c r="AN48" s="115"/>
      <c r="AO48" s="115"/>
      <c r="AP48" s="115"/>
      <c r="AQ48" s="115"/>
      <c r="AR48" s="115"/>
      <c r="AS48" s="115"/>
      <c r="AT48" s="115"/>
      <c r="AU48" s="115"/>
      <c r="AV48" s="115"/>
      <c r="AW48" s="115"/>
      <c r="AX48" s="11"/>
      <c r="AY48" s="11"/>
      <c r="AZ48" s="11"/>
      <c r="BA48" s="11"/>
      <c r="BB48" s="11"/>
      <c r="BC48" s="11"/>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row>
    <row r="49" spans="1:86">
      <c r="A49" s="115"/>
      <c r="B49" s="115"/>
      <c r="C49" s="11"/>
      <c r="D49" s="11"/>
      <c r="E49" s="11"/>
      <c r="F49" s="11"/>
      <c r="G49" s="11"/>
      <c r="H49" s="11"/>
      <c r="I49" s="11"/>
      <c r="J49" s="11"/>
      <c r="K49" s="11"/>
      <c r="L49" s="11"/>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row>
    <row r="50" spans="1:86">
      <c r="A50" s="115"/>
      <c r="B50" s="115"/>
      <c r="C50" s="11"/>
      <c r="D50" s="11"/>
      <c r="E50" s="11"/>
      <c r="F50" s="11"/>
      <c r="G50" s="11"/>
      <c r="H50" s="11"/>
      <c r="I50" s="11"/>
      <c r="J50" s="11"/>
      <c r="K50" s="11"/>
      <c r="L50" s="11"/>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row>
    <row r="51" spans="1:86">
      <c r="A51" s="115"/>
      <c r="B51" s="115"/>
      <c r="C51" s="115"/>
      <c r="D51" s="115"/>
      <c r="E51" s="11"/>
      <c r="F51" s="11"/>
      <c r="G51" s="11"/>
      <c r="H51" s="11"/>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row>
    <row r="52" spans="1:86">
      <c r="A52" s="115"/>
      <c r="B52" s="115"/>
      <c r="C52" s="115"/>
      <c r="D52" s="115"/>
      <c r="E52" s="11"/>
      <c r="F52" s="11"/>
      <c r="G52" s="11"/>
      <c r="H52" s="11"/>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row>
    <row r="53" spans="1:86">
      <c r="A53" s="115"/>
      <c r="B53" s="115"/>
      <c r="C53" s="115"/>
      <c r="D53" s="115"/>
      <c r="E53" s="11"/>
      <c r="F53" s="11"/>
      <c r="G53" s="11"/>
      <c r="H53" s="11"/>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c r="CC53" s="115"/>
      <c r="CD53" s="115"/>
      <c r="CE53" s="115"/>
      <c r="CF53" s="115"/>
      <c r="CG53" s="115"/>
      <c r="CH53" s="115"/>
    </row>
    <row r="54" spans="1:86">
      <c r="A54" s="115"/>
      <c r="B54" s="115"/>
      <c r="C54" s="115"/>
      <c r="D54" s="115"/>
      <c r="E54" s="11"/>
      <c r="F54" s="11"/>
      <c r="G54" s="11"/>
      <c r="H54" s="11"/>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row>
    <row r="55" spans="1:86">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row>
    <row r="56" spans="1:86">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row>
    <row r="57" spans="1:86">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c r="BZ57" s="115"/>
      <c r="CA57" s="115"/>
      <c r="CB57" s="115"/>
      <c r="CC57" s="115"/>
      <c r="CD57" s="115"/>
      <c r="CE57" s="115"/>
      <c r="CF57" s="115"/>
      <c r="CG57" s="115"/>
      <c r="CH57" s="115"/>
    </row>
    <row r="58" spans="1:86">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row>
    <row r="59" spans="1:86">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c r="CC59" s="115"/>
      <c r="CD59" s="115"/>
      <c r="CE59" s="115"/>
      <c r="CF59" s="115"/>
      <c r="CG59" s="115"/>
      <c r="CH59" s="115"/>
    </row>
    <row r="60" spans="1:86">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row>
    <row r="61" spans="1:86">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row>
    <row r="62" spans="1:86">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c r="CC62" s="115"/>
      <c r="CD62" s="115"/>
      <c r="CE62" s="115"/>
      <c r="CF62" s="115"/>
      <c r="CG62" s="115"/>
      <c r="CH62" s="115"/>
    </row>
    <row r="63" spans="1:86">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row>
    <row r="64" spans="1:86">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c r="BZ64" s="115"/>
      <c r="CA64" s="115"/>
      <c r="CB64" s="115"/>
      <c r="CC64" s="115"/>
      <c r="CD64" s="115"/>
      <c r="CE64" s="115"/>
      <c r="CF64" s="115"/>
      <c r="CG64" s="115"/>
      <c r="CH64" s="115"/>
    </row>
    <row r="65" spans="1:86">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row>
    <row r="66" spans="1:86">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c r="CC66" s="115"/>
      <c r="CD66" s="115"/>
      <c r="CE66" s="115"/>
      <c r="CF66" s="115"/>
      <c r="CG66" s="115"/>
      <c r="CH66" s="115"/>
    </row>
    <row r="67" spans="1:86">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c r="CC67" s="115"/>
      <c r="CD67" s="115"/>
      <c r="CE67" s="115"/>
      <c r="CF67" s="115"/>
      <c r="CG67" s="115"/>
      <c r="CH67" s="115"/>
    </row>
    <row r="68" spans="1:86">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c r="BZ68" s="115"/>
      <c r="CA68" s="115"/>
      <c r="CB68" s="115"/>
      <c r="CC68" s="115"/>
      <c r="CD68" s="115"/>
      <c r="CE68" s="115"/>
      <c r="CF68" s="115"/>
      <c r="CG68" s="115"/>
      <c r="CH68" s="115"/>
    </row>
    <row r="69" spans="1:86">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c r="CC69" s="115"/>
      <c r="CD69" s="115"/>
      <c r="CE69" s="115"/>
      <c r="CF69" s="115"/>
      <c r="CG69" s="115"/>
      <c r="CH69" s="115"/>
    </row>
    <row r="70" spans="1:86">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c r="CC70" s="115"/>
      <c r="CD70" s="115"/>
      <c r="CE70" s="115"/>
      <c r="CF70" s="115"/>
      <c r="CG70" s="115"/>
      <c r="CH70" s="115"/>
    </row>
    <row r="71" spans="1:86">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c r="BZ71" s="115"/>
      <c r="CA71" s="115"/>
      <c r="CB71" s="115"/>
      <c r="CC71" s="115"/>
      <c r="CD71" s="115"/>
      <c r="CE71" s="115"/>
      <c r="CF71" s="115"/>
      <c r="CG71" s="115"/>
      <c r="CH71" s="115"/>
    </row>
    <row r="72" spans="1:86">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c r="BZ72" s="115"/>
      <c r="CA72" s="115"/>
      <c r="CB72" s="115"/>
      <c r="CC72" s="115"/>
      <c r="CD72" s="115"/>
      <c r="CE72" s="115"/>
      <c r="CF72" s="115"/>
      <c r="CG72" s="115"/>
      <c r="CH72" s="115"/>
    </row>
    <row r="73" spans="1:86">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c r="BZ73" s="115"/>
      <c r="CA73" s="115"/>
      <c r="CB73" s="115"/>
      <c r="CC73" s="115"/>
      <c r="CD73" s="115"/>
      <c r="CE73" s="115"/>
      <c r="CF73" s="115"/>
      <c r="CG73" s="115"/>
      <c r="CH73" s="115"/>
    </row>
    <row r="74" spans="1:86">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row>
    <row r="75" spans="1:86">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c r="BZ75" s="115"/>
      <c r="CA75" s="115"/>
      <c r="CB75" s="115"/>
      <c r="CC75" s="115"/>
      <c r="CD75" s="115"/>
      <c r="CE75" s="115"/>
      <c r="CF75" s="115"/>
      <c r="CG75" s="115"/>
      <c r="CH75" s="115"/>
    </row>
    <row r="76" spans="1:86">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row>
    <row r="77" spans="1:86">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c r="BZ77" s="115"/>
      <c r="CA77" s="115"/>
      <c r="CB77" s="115"/>
      <c r="CC77" s="115"/>
      <c r="CD77" s="115"/>
      <c r="CE77" s="115"/>
      <c r="CF77" s="115"/>
      <c r="CG77" s="115"/>
      <c r="CH77" s="115"/>
    </row>
    <row r="78" spans="1:86">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c r="CC78" s="115"/>
      <c r="CD78" s="115"/>
      <c r="CE78" s="115"/>
      <c r="CF78" s="115"/>
      <c r="CG78" s="115"/>
      <c r="CH78" s="115"/>
    </row>
    <row r="79" spans="1:86">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c r="CB79" s="115"/>
      <c r="CC79" s="115"/>
      <c r="CD79" s="115"/>
      <c r="CE79" s="115"/>
      <c r="CF79" s="115"/>
      <c r="CG79" s="115"/>
      <c r="CH79" s="115"/>
    </row>
    <row r="80" spans="1:86">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c r="BZ80" s="115"/>
      <c r="CA80" s="115"/>
      <c r="CB80" s="115"/>
      <c r="CC80" s="115"/>
      <c r="CD80" s="115"/>
      <c r="CE80" s="115"/>
      <c r="CF80" s="115"/>
      <c r="CG80" s="115"/>
      <c r="CH80" s="115"/>
    </row>
    <row r="81" spans="1:86">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row>
    <row r="82" spans="1:86">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c r="BZ82" s="115"/>
      <c r="CA82" s="115"/>
      <c r="CB82" s="115"/>
      <c r="CC82" s="115"/>
      <c r="CD82" s="115"/>
      <c r="CE82" s="115"/>
      <c r="CF82" s="115"/>
      <c r="CG82" s="115"/>
      <c r="CH82" s="115"/>
    </row>
    <row r="83" spans="1:86">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c r="CB83" s="115"/>
      <c r="CC83" s="115"/>
      <c r="CD83" s="115"/>
      <c r="CE83" s="115"/>
      <c r="CF83" s="115"/>
      <c r="CG83" s="115"/>
      <c r="CH83" s="115"/>
    </row>
    <row r="84" spans="1:86">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row>
    <row r="85" spans="1:86">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row>
    <row r="86" spans="1:86">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c r="CB86" s="115"/>
      <c r="CC86" s="115"/>
      <c r="CD86" s="115"/>
      <c r="CE86" s="115"/>
      <c r="CF86" s="115"/>
      <c r="CG86" s="115"/>
      <c r="CH86" s="115"/>
    </row>
    <row r="87" spans="1:86">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c r="CB87" s="115"/>
      <c r="CC87" s="115"/>
      <c r="CD87" s="115"/>
      <c r="CE87" s="115"/>
      <c r="CF87" s="115"/>
      <c r="CG87" s="115"/>
      <c r="CH87" s="115"/>
    </row>
    <row r="88" spans="1:86">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row>
    <row r="89" spans="1:86">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c r="CC89" s="115"/>
      <c r="CD89" s="115"/>
      <c r="CE89" s="115"/>
      <c r="CF89" s="115"/>
      <c r="CG89" s="115"/>
      <c r="CH89" s="115"/>
    </row>
    <row r="90" spans="1:86">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row>
    <row r="91" spans="1:86">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c r="CG91" s="115"/>
      <c r="CH91" s="115"/>
    </row>
    <row r="92" spans="1:86">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c r="CB92" s="115"/>
      <c r="CC92" s="115"/>
      <c r="CD92" s="115"/>
      <c r="CE92" s="115"/>
      <c r="CF92" s="115"/>
      <c r="CG92" s="115"/>
      <c r="CH92" s="115"/>
    </row>
    <row r="93" spans="1:86">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c r="CB93" s="115"/>
      <c r="CC93" s="115"/>
      <c r="CD93" s="115"/>
      <c r="CE93" s="115"/>
      <c r="CF93" s="115"/>
      <c r="CG93" s="115"/>
      <c r="CH93" s="115"/>
    </row>
    <row r="94" spans="1:86">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c r="CG94" s="115"/>
      <c r="CH94" s="115"/>
    </row>
    <row r="95" spans="1:86">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row>
    <row r="96" spans="1:86">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c r="CB96" s="115"/>
      <c r="CC96" s="115"/>
      <c r="CD96" s="115"/>
      <c r="CE96" s="115"/>
      <c r="CF96" s="115"/>
      <c r="CG96" s="115"/>
      <c r="CH96" s="115"/>
    </row>
    <row r="97" spans="1:86">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c r="CG97" s="115"/>
      <c r="CH97" s="115"/>
    </row>
    <row r="98" spans="1:86">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c r="CB98" s="115"/>
      <c r="CC98" s="115"/>
      <c r="CD98" s="115"/>
      <c r="CE98" s="115"/>
      <c r="CF98" s="115"/>
      <c r="CG98" s="115"/>
      <c r="CH98" s="115"/>
    </row>
    <row r="99" spans="1:86">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c r="CB99" s="115"/>
      <c r="CC99" s="115"/>
      <c r="CD99" s="115"/>
      <c r="CE99" s="115"/>
      <c r="CF99" s="115"/>
      <c r="CG99" s="115"/>
      <c r="CH99" s="115"/>
    </row>
    <row r="100" spans="1:86">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c r="CB100" s="115"/>
      <c r="CC100" s="115"/>
      <c r="CD100" s="115"/>
      <c r="CE100" s="115"/>
      <c r="CF100" s="115"/>
      <c r="CG100" s="115"/>
      <c r="CH100" s="115"/>
    </row>
    <row r="101" spans="1:86">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c r="CC101" s="115"/>
      <c r="CD101" s="115"/>
      <c r="CE101" s="115"/>
      <c r="CF101" s="115"/>
      <c r="CG101" s="115"/>
      <c r="CH101" s="115"/>
    </row>
    <row r="102" spans="1:86">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c r="CB102" s="115"/>
      <c r="CC102" s="115"/>
      <c r="CD102" s="115"/>
      <c r="CE102" s="115"/>
      <c r="CF102" s="115"/>
      <c r="CG102" s="115"/>
      <c r="CH102" s="115"/>
    </row>
    <row r="103" spans="1:86">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c r="CB103" s="115"/>
      <c r="CC103" s="115"/>
      <c r="CD103" s="115"/>
      <c r="CE103" s="115"/>
      <c r="CF103" s="115"/>
      <c r="CG103" s="115"/>
      <c r="CH103" s="115"/>
    </row>
    <row r="104" spans="1:86">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c r="CB104" s="115"/>
      <c r="CC104" s="115"/>
      <c r="CD104" s="115"/>
      <c r="CE104" s="115"/>
      <c r="CF104" s="115"/>
      <c r="CG104" s="115"/>
      <c r="CH104" s="115"/>
    </row>
    <row r="105" spans="1:86">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c r="CB105" s="115"/>
      <c r="CC105" s="115"/>
      <c r="CD105" s="115"/>
      <c r="CE105" s="115"/>
      <c r="CF105" s="115"/>
      <c r="CG105" s="115"/>
      <c r="CH105" s="115"/>
    </row>
    <row r="106" spans="1:86">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c r="CB106" s="115"/>
      <c r="CC106" s="115"/>
      <c r="CD106" s="115"/>
      <c r="CE106" s="115"/>
      <c r="CF106" s="115"/>
      <c r="CG106" s="115"/>
      <c r="CH106" s="115"/>
    </row>
    <row r="107" spans="1:86">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c r="CC107" s="115"/>
      <c r="CD107" s="115"/>
      <c r="CE107" s="115"/>
      <c r="CF107" s="115"/>
      <c r="CG107" s="115"/>
      <c r="CH107" s="115"/>
    </row>
    <row r="108" spans="1:86">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c r="CG108" s="115"/>
      <c r="CH108" s="115"/>
    </row>
    <row r="109" spans="1:86">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c r="CA109" s="115"/>
      <c r="CB109" s="115"/>
      <c r="CC109" s="115"/>
      <c r="CD109" s="115"/>
      <c r="CE109" s="115"/>
      <c r="CF109" s="115"/>
      <c r="CG109" s="115"/>
      <c r="CH109" s="115"/>
    </row>
    <row r="110" spans="1:86">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c r="CC110" s="115"/>
      <c r="CD110" s="115"/>
      <c r="CE110" s="115"/>
      <c r="CF110" s="115"/>
      <c r="CG110" s="115"/>
      <c r="CH110" s="115"/>
    </row>
    <row r="111" spans="1:86">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15"/>
      <c r="CD111" s="115"/>
      <c r="CE111" s="115"/>
      <c r="CF111" s="115"/>
      <c r="CG111" s="115"/>
      <c r="CH111" s="115"/>
    </row>
    <row r="112" spans="1:86">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row>
    <row r="113" spans="1:86">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D113" s="115"/>
      <c r="CE113" s="115"/>
      <c r="CF113" s="115"/>
      <c r="CG113" s="115"/>
      <c r="CH113" s="115"/>
    </row>
    <row r="114" spans="1:86">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c r="CG114" s="115"/>
      <c r="CH114" s="115"/>
    </row>
    <row r="115" spans="1:86">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row>
    <row r="116" spans="1:86">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row>
    <row r="117" spans="1:86">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5"/>
      <c r="CH117" s="115"/>
    </row>
    <row r="118" spans="1:86">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row>
    <row r="119" spans="1:86">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15"/>
      <c r="CD119" s="115"/>
      <c r="CE119" s="115"/>
      <c r="CF119" s="115"/>
      <c r="CG119" s="115"/>
      <c r="CH119" s="115"/>
    </row>
    <row r="120" spans="1:86">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row>
    <row r="121" spans="1:86">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15"/>
      <c r="CD121" s="115"/>
      <c r="CE121" s="115"/>
      <c r="CF121" s="115"/>
      <c r="CG121" s="115"/>
      <c r="CH121" s="115"/>
    </row>
    <row r="122" spans="1:86">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row>
    <row r="123" spans="1:86">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c r="CB123" s="115"/>
      <c r="CC123" s="115"/>
      <c r="CD123" s="115"/>
      <c r="CE123" s="115"/>
      <c r="CF123" s="115"/>
      <c r="CG123" s="115"/>
      <c r="CH123" s="115"/>
    </row>
    <row r="124" spans="1:86">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c r="CB124" s="115"/>
      <c r="CC124" s="115"/>
      <c r="CD124" s="115"/>
      <c r="CE124" s="115"/>
      <c r="CF124" s="115"/>
      <c r="CG124" s="115"/>
      <c r="CH124" s="115"/>
    </row>
    <row r="125" spans="1:86">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row>
    <row r="126" spans="1:86">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15"/>
      <c r="CD126" s="115"/>
      <c r="CE126" s="115"/>
      <c r="CF126" s="115"/>
      <c r="CG126" s="115"/>
      <c r="CH126" s="115"/>
    </row>
    <row r="127" spans="1:86">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15"/>
      <c r="CD127" s="115"/>
      <c r="CE127" s="115"/>
      <c r="CF127" s="115"/>
      <c r="CG127" s="115"/>
      <c r="CH127" s="115"/>
    </row>
    <row r="128" spans="1:86">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c r="CG128" s="115"/>
      <c r="CH128" s="115"/>
    </row>
    <row r="129" spans="1:86">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c r="CG129" s="115"/>
      <c r="CH129" s="115"/>
    </row>
    <row r="130" spans="1:86">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c r="CG130" s="115"/>
      <c r="CH130" s="115"/>
    </row>
    <row r="131" spans="1:86">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c r="CG131" s="115"/>
      <c r="CH131" s="115"/>
    </row>
    <row r="132" spans="1:86">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c r="CG132" s="115"/>
      <c r="CH132" s="115"/>
    </row>
    <row r="133" spans="1:86">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c r="CG133" s="115"/>
      <c r="CH133" s="115"/>
    </row>
    <row r="134" spans="1:86">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c r="CG134" s="115"/>
      <c r="CH134" s="115"/>
    </row>
    <row r="135" spans="1:86">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row>
    <row r="136" spans="1:86">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row>
    <row r="137" spans="1:86">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c r="CG137" s="115"/>
      <c r="CH137" s="115"/>
    </row>
    <row r="138" spans="1:86">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row>
    <row r="139" spans="1:86">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c r="CG139" s="115"/>
      <c r="CH139" s="115"/>
    </row>
    <row r="140" spans="1:86">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15"/>
      <c r="CD140" s="115"/>
      <c r="CE140" s="115"/>
      <c r="CF140" s="115"/>
      <c r="CG140" s="115"/>
      <c r="CH140" s="115"/>
    </row>
    <row r="141" spans="1:86">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c r="CG141" s="115"/>
      <c r="CH141" s="115"/>
    </row>
    <row r="142" spans="1:86">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row>
    <row r="143" spans="1:86">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c r="CG143" s="115"/>
      <c r="CH143" s="115"/>
    </row>
    <row r="144" spans="1:86">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c r="CG144" s="115"/>
      <c r="CH144" s="115"/>
    </row>
    <row r="145" spans="1:86">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row>
    <row r="146" spans="1:86">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row>
    <row r="147" spans="1:86">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row>
    <row r="148" spans="1:86">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c r="CG148" s="115"/>
      <c r="CH148" s="115"/>
    </row>
    <row r="149" spans="1:86">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15"/>
      <c r="CD149" s="115"/>
      <c r="CE149" s="115"/>
      <c r="CF149" s="115"/>
      <c r="CG149" s="115"/>
      <c r="CH149" s="115"/>
    </row>
    <row r="150" spans="1:86">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15"/>
      <c r="CD150" s="115"/>
      <c r="CE150" s="115"/>
      <c r="CF150" s="115"/>
      <c r="CG150" s="115"/>
      <c r="CH150" s="115"/>
    </row>
    <row r="151" spans="1:86">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c r="CG151" s="115"/>
      <c r="CH151" s="115"/>
    </row>
    <row r="152" spans="1:86">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c r="CG152" s="115"/>
      <c r="CH152" s="115"/>
    </row>
    <row r="153" spans="1:86">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c r="CG153" s="115"/>
      <c r="CH153" s="115"/>
    </row>
    <row r="154" spans="1:86">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row>
    <row r="155" spans="1:86">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c r="CG155" s="115"/>
      <c r="CH155" s="115"/>
    </row>
    <row r="156" spans="1:86">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c r="CG156" s="115"/>
      <c r="CH156" s="115"/>
    </row>
    <row r="157" spans="1:86">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c r="CG157" s="115"/>
      <c r="CH157" s="115"/>
    </row>
    <row r="158" spans="1:86">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c r="CG158" s="115"/>
      <c r="CH158" s="115"/>
    </row>
    <row r="159" spans="1:86">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c r="CG159" s="115"/>
      <c r="CH159" s="115"/>
    </row>
    <row r="160" spans="1:86">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15"/>
      <c r="CD160" s="115"/>
      <c r="CE160" s="115"/>
      <c r="CF160" s="115"/>
      <c r="CG160" s="115"/>
      <c r="CH160" s="115"/>
    </row>
    <row r="161" spans="1:86">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c r="CG161" s="115"/>
      <c r="CH161" s="115"/>
    </row>
    <row r="162" spans="1:86">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c r="CG162" s="115"/>
      <c r="CH162" s="115"/>
    </row>
    <row r="163" spans="1:86">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c r="CC163" s="115"/>
      <c r="CD163" s="115"/>
      <c r="CE163" s="115"/>
      <c r="CF163" s="115"/>
      <c r="CG163" s="115"/>
      <c r="CH163" s="115"/>
    </row>
    <row r="164" spans="1:86">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c r="CB164" s="115"/>
      <c r="CC164" s="115"/>
      <c r="CD164" s="115"/>
      <c r="CE164" s="115"/>
      <c r="CF164" s="115"/>
      <c r="CG164" s="115"/>
      <c r="CH164" s="115"/>
    </row>
    <row r="165" spans="1:86">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15"/>
      <c r="CD165" s="115"/>
      <c r="CE165" s="115"/>
      <c r="CF165" s="115"/>
      <c r="CG165" s="115"/>
      <c r="CH165" s="115"/>
    </row>
    <row r="166" spans="1:86">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c r="BZ166" s="115"/>
      <c r="CA166" s="115"/>
      <c r="CB166" s="115"/>
      <c r="CC166" s="115"/>
      <c r="CD166" s="115"/>
      <c r="CE166" s="115"/>
      <c r="CF166" s="115"/>
      <c r="CG166" s="115"/>
      <c r="CH166" s="115"/>
    </row>
    <row r="167" spans="1:86">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c r="CB167" s="115"/>
      <c r="CC167" s="115"/>
      <c r="CD167" s="115"/>
      <c r="CE167" s="115"/>
      <c r="CF167" s="115"/>
      <c r="CG167" s="115"/>
      <c r="CH167" s="115"/>
    </row>
    <row r="168" spans="1:86">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c r="CB168" s="115"/>
      <c r="CC168" s="115"/>
      <c r="CD168" s="115"/>
      <c r="CE168" s="115"/>
      <c r="CF168" s="115"/>
      <c r="CG168" s="115"/>
      <c r="CH168" s="115"/>
    </row>
    <row r="169" spans="1:86">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c r="CB169" s="115"/>
      <c r="CC169" s="115"/>
      <c r="CD169" s="115"/>
      <c r="CE169" s="115"/>
      <c r="CF169" s="115"/>
      <c r="CG169" s="115"/>
      <c r="CH169" s="115"/>
    </row>
    <row r="170" spans="1:86">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c r="CG170" s="115"/>
      <c r="CH170" s="115"/>
    </row>
    <row r="171" spans="1:86">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c r="BZ171" s="115"/>
      <c r="CA171" s="115"/>
      <c r="CB171" s="115"/>
      <c r="CC171" s="115"/>
      <c r="CD171" s="115"/>
      <c r="CE171" s="115"/>
      <c r="CF171" s="115"/>
      <c r="CG171" s="115"/>
      <c r="CH171" s="115"/>
    </row>
    <row r="172" spans="1:86">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c r="CC172" s="115"/>
      <c r="CD172" s="115"/>
      <c r="CE172" s="115"/>
      <c r="CF172" s="115"/>
      <c r="CG172" s="115"/>
      <c r="CH172" s="115"/>
    </row>
    <row r="173" spans="1:86">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15"/>
      <c r="CD173" s="115"/>
      <c r="CE173" s="115"/>
      <c r="CF173" s="115"/>
      <c r="CG173" s="115"/>
      <c r="CH173" s="115"/>
    </row>
    <row r="174" spans="1:86">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c r="CG174" s="115"/>
      <c r="CH174" s="115"/>
    </row>
    <row r="175" spans="1:86">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c r="CC175" s="115"/>
      <c r="CD175" s="115"/>
      <c r="CE175" s="115"/>
      <c r="CF175" s="115"/>
      <c r="CG175" s="115"/>
      <c r="CH175" s="115"/>
    </row>
    <row r="176" spans="1:86">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15"/>
      <c r="CD176" s="115"/>
      <c r="CE176" s="115"/>
      <c r="CF176" s="115"/>
      <c r="CG176" s="115"/>
      <c r="CH176" s="115"/>
    </row>
    <row r="177" spans="1:86">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row>
    <row r="178" spans="1:86">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c r="CG178" s="115"/>
      <c r="CH178" s="115"/>
    </row>
    <row r="179" spans="1:86">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c r="CG179" s="115"/>
      <c r="CH179" s="115"/>
    </row>
    <row r="180" spans="1:86">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c r="CG180" s="115"/>
      <c r="CH180" s="115"/>
    </row>
    <row r="181" spans="1:86">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c r="CG181" s="115"/>
      <c r="CH181" s="115"/>
    </row>
    <row r="182" spans="1:86">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c r="CG182" s="115"/>
      <c r="CH182" s="115"/>
    </row>
    <row r="183" spans="1:86">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15"/>
      <c r="CD183" s="115"/>
      <c r="CE183" s="115"/>
      <c r="CF183" s="115"/>
      <c r="CG183" s="115"/>
      <c r="CH183" s="115"/>
    </row>
    <row r="184" spans="1:86">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c r="CB184" s="115"/>
      <c r="CC184" s="115"/>
      <c r="CD184" s="115"/>
      <c r="CE184" s="115"/>
      <c r="CF184" s="115"/>
      <c r="CG184" s="115"/>
      <c r="CH184" s="115"/>
    </row>
    <row r="185" spans="1:86">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c r="CG185" s="115"/>
      <c r="CH185" s="115"/>
    </row>
    <row r="186" spans="1:86">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c r="CC186" s="115"/>
      <c r="CD186" s="115"/>
      <c r="CE186" s="115"/>
      <c r="CF186" s="115"/>
      <c r="CG186" s="115"/>
      <c r="CH186" s="115"/>
    </row>
    <row r="187" spans="1:86">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15"/>
      <c r="CD187" s="115"/>
      <c r="CE187" s="115"/>
      <c r="CF187" s="115"/>
      <c r="CG187" s="115"/>
      <c r="CH187" s="115"/>
    </row>
    <row r="188" spans="1:86">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c r="CC188" s="115"/>
      <c r="CD188" s="115"/>
      <c r="CE188" s="115"/>
      <c r="CF188" s="115"/>
      <c r="CG188" s="115"/>
      <c r="CH188" s="115"/>
    </row>
    <row r="189" spans="1:86">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15"/>
      <c r="CD189" s="115"/>
      <c r="CE189" s="115"/>
      <c r="CF189" s="115"/>
      <c r="CG189" s="115"/>
      <c r="CH189" s="115"/>
    </row>
    <row r="190" spans="1:86">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c r="CB190" s="115"/>
      <c r="CC190" s="115"/>
      <c r="CD190" s="115"/>
      <c r="CE190" s="115"/>
      <c r="CF190" s="115"/>
      <c r="CG190" s="115"/>
      <c r="CH190" s="115"/>
    </row>
    <row r="191" spans="1:86">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c r="CB191" s="115"/>
      <c r="CC191" s="115"/>
      <c r="CD191" s="115"/>
      <c r="CE191" s="115"/>
      <c r="CF191" s="115"/>
      <c r="CG191" s="115"/>
      <c r="CH191" s="115"/>
    </row>
    <row r="192" spans="1:86">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c r="CB192" s="115"/>
      <c r="CC192" s="115"/>
      <c r="CD192" s="115"/>
      <c r="CE192" s="115"/>
      <c r="CF192" s="115"/>
      <c r="CG192" s="115"/>
      <c r="CH192" s="115"/>
    </row>
    <row r="193" spans="1:86">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c r="CC193" s="115"/>
      <c r="CD193" s="115"/>
      <c r="CE193" s="115"/>
      <c r="CF193" s="115"/>
      <c r="CG193" s="115"/>
      <c r="CH193" s="115"/>
    </row>
    <row r="194" spans="1:86">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c r="CC194" s="115"/>
      <c r="CD194" s="115"/>
      <c r="CE194" s="115"/>
      <c r="CF194" s="115"/>
      <c r="CG194" s="115"/>
      <c r="CH194" s="115"/>
    </row>
    <row r="195" spans="1:86">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15"/>
      <c r="CD195" s="115"/>
      <c r="CE195" s="115"/>
      <c r="CF195" s="115"/>
      <c r="CG195" s="115"/>
      <c r="CH195" s="115"/>
    </row>
    <row r="196" spans="1:86">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15"/>
      <c r="CD196" s="115"/>
      <c r="CE196" s="115"/>
      <c r="CF196" s="115"/>
      <c r="CG196" s="115"/>
      <c r="CH196" s="115"/>
    </row>
    <row r="197" spans="1:86">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15"/>
      <c r="CD197" s="115"/>
      <c r="CE197" s="115"/>
      <c r="CF197" s="115"/>
      <c r="CG197" s="115"/>
      <c r="CH197" s="115"/>
    </row>
    <row r="198" spans="1:86">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c r="CG198" s="115"/>
      <c r="CH198" s="115"/>
    </row>
    <row r="199" spans="1:86">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c r="BZ199" s="115"/>
      <c r="CA199" s="115"/>
      <c r="CB199" s="115"/>
      <c r="CC199" s="115"/>
      <c r="CD199" s="115"/>
      <c r="CE199" s="115"/>
      <c r="CF199" s="115"/>
      <c r="CG199" s="115"/>
      <c r="CH199" s="115"/>
    </row>
    <row r="200" spans="1:86">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row>
    <row r="201" spans="1:86">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c r="CG201" s="115"/>
      <c r="CH201" s="115"/>
    </row>
    <row r="202" spans="1:86">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15"/>
      <c r="CD202" s="115"/>
      <c r="CE202" s="115"/>
      <c r="CF202" s="115"/>
      <c r="CG202" s="115"/>
      <c r="CH202" s="115"/>
    </row>
    <row r="203" spans="1:86">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c r="CC203" s="115"/>
      <c r="CD203" s="115"/>
      <c r="CE203" s="115"/>
      <c r="CF203" s="115"/>
      <c r="CG203" s="115"/>
      <c r="CH203" s="115"/>
    </row>
    <row r="204" spans="1:86">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c r="BZ204" s="115"/>
      <c r="CA204" s="115"/>
      <c r="CB204" s="115"/>
      <c r="CC204" s="115"/>
      <c r="CD204" s="115"/>
      <c r="CE204" s="115"/>
      <c r="CF204" s="115"/>
      <c r="CG204" s="115"/>
      <c r="CH204" s="115"/>
    </row>
    <row r="205" spans="1:86">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c r="CB205" s="115"/>
      <c r="CC205" s="115"/>
      <c r="CD205" s="115"/>
      <c r="CE205" s="115"/>
      <c r="CF205" s="115"/>
      <c r="CG205" s="115"/>
      <c r="CH205" s="115"/>
    </row>
    <row r="206" spans="1:86">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c r="CB206" s="115"/>
      <c r="CC206" s="115"/>
      <c r="CD206" s="115"/>
      <c r="CE206" s="115"/>
      <c r="CF206" s="115"/>
      <c r="CG206" s="115"/>
      <c r="CH206" s="115"/>
    </row>
    <row r="207" spans="1:86">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c r="CC207" s="115"/>
      <c r="CD207" s="115"/>
      <c r="CE207" s="115"/>
      <c r="CF207" s="115"/>
      <c r="CG207" s="115"/>
      <c r="CH207" s="115"/>
    </row>
    <row r="208" spans="1:86">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c r="CB208" s="115"/>
      <c r="CC208" s="115"/>
      <c r="CD208" s="115"/>
      <c r="CE208" s="115"/>
      <c r="CF208" s="115"/>
      <c r="CG208" s="115"/>
      <c r="CH208" s="115"/>
    </row>
    <row r="209" spans="1:86">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c r="CC209" s="115"/>
      <c r="CD209" s="115"/>
      <c r="CE209" s="115"/>
      <c r="CF209" s="115"/>
      <c r="CG209" s="115"/>
      <c r="CH209" s="115"/>
    </row>
    <row r="210" spans="1:86">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row>
    <row r="211" spans="1:86">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c r="CB211" s="115"/>
      <c r="CC211" s="115"/>
      <c r="CD211" s="115"/>
      <c r="CE211" s="115"/>
      <c r="CF211" s="115"/>
      <c r="CG211" s="115"/>
      <c r="CH211" s="115"/>
    </row>
    <row r="212" spans="1:86">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15"/>
      <c r="CD212" s="115"/>
      <c r="CE212" s="115"/>
      <c r="CF212" s="115"/>
      <c r="CG212" s="115"/>
      <c r="CH212" s="115"/>
    </row>
    <row r="213" spans="1:86">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c r="CG213" s="115"/>
      <c r="CH213" s="115"/>
    </row>
    <row r="214" spans="1:86">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c r="CC214" s="115"/>
      <c r="CD214" s="115"/>
      <c r="CE214" s="115"/>
      <c r="CF214" s="115"/>
      <c r="CG214" s="115"/>
      <c r="CH214" s="115"/>
    </row>
    <row r="215" spans="1:86">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c r="CB215" s="115"/>
      <c r="CC215" s="115"/>
      <c r="CD215" s="115"/>
      <c r="CE215" s="115"/>
      <c r="CF215" s="115"/>
      <c r="CG215" s="115"/>
      <c r="CH215" s="115"/>
    </row>
    <row r="216" spans="1:86">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c r="CB216" s="115"/>
      <c r="CC216" s="115"/>
      <c r="CD216" s="115"/>
      <c r="CE216" s="115"/>
      <c r="CF216" s="115"/>
      <c r="CG216" s="115"/>
      <c r="CH216" s="115"/>
    </row>
    <row r="217" spans="1:86">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c r="CG217" s="115"/>
      <c r="CH217" s="115"/>
    </row>
    <row r="218" spans="1:86">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c r="CB218" s="115"/>
      <c r="CC218" s="115"/>
      <c r="CD218" s="115"/>
      <c r="CE218" s="115"/>
      <c r="CF218" s="115"/>
      <c r="CG218" s="115"/>
      <c r="CH218" s="115"/>
    </row>
    <row r="219" spans="1:86">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c r="CC219" s="115"/>
      <c r="CD219" s="115"/>
      <c r="CE219" s="115"/>
      <c r="CF219" s="115"/>
      <c r="CG219" s="115"/>
      <c r="CH219" s="115"/>
    </row>
    <row r="220" spans="1:86">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c r="CB220" s="115"/>
      <c r="CC220" s="115"/>
      <c r="CD220" s="115"/>
      <c r="CE220" s="115"/>
      <c r="CF220" s="115"/>
      <c r="CG220" s="115"/>
      <c r="CH220" s="115"/>
    </row>
    <row r="221" spans="1:86">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c r="CC221" s="115"/>
      <c r="CD221" s="115"/>
      <c r="CE221" s="115"/>
      <c r="CF221" s="115"/>
      <c r="CG221" s="115"/>
      <c r="CH221" s="115"/>
    </row>
    <row r="222" spans="1:86">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c r="CC222" s="115"/>
      <c r="CD222" s="115"/>
      <c r="CE222" s="115"/>
      <c r="CF222" s="115"/>
      <c r="CG222" s="115"/>
      <c r="CH222" s="115"/>
    </row>
    <row r="223" spans="1:86">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c r="BZ223" s="115"/>
      <c r="CA223" s="115"/>
      <c r="CB223" s="115"/>
      <c r="CC223" s="115"/>
      <c r="CD223" s="115"/>
      <c r="CE223" s="115"/>
      <c r="CF223" s="115"/>
      <c r="CG223" s="115"/>
      <c r="CH223" s="115"/>
    </row>
    <row r="224" spans="1:86">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c r="CB224" s="115"/>
      <c r="CC224" s="115"/>
      <c r="CD224" s="115"/>
      <c r="CE224" s="115"/>
      <c r="CF224" s="115"/>
      <c r="CG224" s="115"/>
      <c r="CH224" s="115"/>
    </row>
    <row r="225" spans="1:86">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c r="CB225" s="115"/>
      <c r="CC225" s="115"/>
      <c r="CD225" s="115"/>
      <c r="CE225" s="115"/>
      <c r="CF225" s="115"/>
      <c r="CG225" s="115"/>
      <c r="CH225" s="115"/>
    </row>
    <row r="226" spans="1:86">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c r="CC226" s="115"/>
      <c r="CD226" s="115"/>
      <c r="CE226" s="115"/>
      <c r="CF226" s="115"/>
      <c r="CG226" s="115"/>
      <c r="CH226" s="115"/>
    </row>
    <row r="227" spans="1:86">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c r="CC227" s="115"/>
      <c r="CD227" s="115"/>
      <c r="CE227" s="115"/>
      <c r="CF227" s="115"/>
      <c r="CG227" s="115"/>
      <c r="CH227" s="115"/>
    </row>
    <row r="228" spans="1:86">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c r="CC228" s="115"/>
      <c r="CD228" s="115"/>
      <c r="CE228" s="115"/>
      <c r="CF228" s="115"/>
      <c r="CG228" s="115"/>
      <c r="CH228" s="115"/>
    </row>
    <row r="229" spans="1:86">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c r="CB229" s="115"/>
      <c r="CC229" s="115"/>
      <c r="CD229" s="115"/>
      <c r="CE229" s="115"/>
      <c r="CF229" s="115"/>
      <c r="CG229" s="115"/>
      <c r="CH229" s="115"/>
    </row>
    <row r="230" spans="1:86">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c r="CC230" s="115"/>
      <c r="CD230" s="115"/>
      <c r="CE230" s="115"/>
      <c r="CF230" s="115"/>
      <c r="CG230" s="115"/>
      <c r="CH230" s="115"/>
    </row>
    <row r="231" spans="1:86">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c r="CC231" s="115"/>
      <c r="CD231" s="115"/>
      <c r="CE231" s="115"/>
      <c r="CF231" s="115"/>
      <c r="CG231" s="115"/>
      <c r="CH231" s="115"/>
    </row>
    <row r="232" spans="1:86">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c r="CG232" s="115"/>
      <c r="CH232" s="115"/>
    </row>
    <row r="233" spans="1:86">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15"/>
      <c r="CD233" s="115"/>
      <c r="CE233" s="115"/>
      <c r="CF233" s="115"/>
      <c r="CG233" s="115"/>
      <c r="CH233" s="115"/>
    </row>
    <row r="234" spans="1:86">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c r="CC234" s="115"/>
      <c r="CD234" s="115"/>
      <c r="CE234" s="115"/>
      <c r="CF234" s="115"/>
      <c r="CG234" s="115"/>
      <c r="CH234" s="115"/>
    </row>
    <row r="235" spans="1:86">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c r="CG235" s="115"/>
      <c r="CH235" s="115"/>
    </row>
    <row r="236" spans="1:86">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c r="CB236" s="115"/>
      <c r="CC236" s="115"/>
      <c r="CD236" s="115"/>
      <c r="CE236" s="115"/>
      <c r="CF236" s="115"/>
      <c r="CG236" s="115"/>
      <c r="CH236" s="115"/>
    </row>
    <row r="237" spans="1:86">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c r="CC237" s="115"/>
      <c r="CD237" s="115"/>
      <c r="CE237" s="115"/>
      <c r="CF237" s="115"/>
      <c r="CG237" s="115"/>
      <c r="CH237" s="115"/>
    </row>
    <row r="238" spans="1:86">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c r="CC238" s="115"/>
      <c r="CD238" s="115"/>
      <c r="CE238" s="115"/>
      <c r="CF238" s="115"/>
      <c r="CG238" s="115"/>
      <c r="CH238" s="115"/>
    </row>
    <row r="239" spans="1:86">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c r="CC239" s="115"/>
      <c r="CD239" s="115"/>
      <c r="CE239" s="115"/>
      <c r="CF239" s="115"/>
      <c r="CG239" s="115"/>
      <c r="CH239" s="115"/>
    </row>
    <row r="240" spans="1:86">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c r="CG240" s="115"/>
      <c r="CH240" s="115"/>
    </row>
    <row r="241" spans="1:86">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c r="CC241" s="115"/>
      <c r="CD241" s="115"/>
      <c r="CE241" s="115"/>
      <c r="CF241" s="115"/>
      <c r="CG241" s="115"/>
      <c r="CH241" s="115"/>
    </row>
    <row r="242" spans="1:86">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c r="CC242" s="115"/>
      <c r="CD242" s="115"/>
      <c r="CE242" s="115"/>
      <c r="CF242" s="115"/>
      <c r="CG242" s="115"/>
      <c r="CH242" s="115"/>
    </row>
    <row r="243" spans="1:86">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15"/>
      <c r="CD243" s="115"/>
      <c r="CE243" s="115"/>
      <c r="CF243" s="115"/>
      <c r="CG243" s="115"/>
      <c r="CH243" s="115"/>
    </row>
    <row r="244" spans="1:86">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15"/>
      <c r="CD244" s="115"/>
      <c r="CE244" s="115"/>
      <c r="CF244" s="115"/>
      <c r="CG244" s="115"/>
      <c r="CH244" s="115"/>
    </row>
    <row r="245" spans="1:86">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c r="CC245" s="115"/>
      <c r="CD245" s="115"/>
      <c r="CE245" s="115"/>
      <c r="CF245" s="115"/>
      <c r="CG245" s="115"/>
      <c r="CH245" s="115"/>
    </row>
    <row r="246" spans="1:86">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c r="CB246" s="115"/>
      <c r="CC246" s="115"/>
      <c r="CD246" s="115"/>
      <c r="CE246" s="115"/>
      <c r="CF246" s="115"/>
      <c r="CG246" s="115"/>
      <c r="CH246" s="115"/>
    </row>
    <row r="247" spans="1:86">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c r="CC247" s="115"/>
      <c r="CD247" s="115"/>
      <c r="CE247" s="115"/>
      <c r="CF247" s="115"/>
      <c r="CG247" s="115"/>
      <c r="CH247" s="115"/>
    </row>
    <row r="248" spans="1:86">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row>
    <row r="249" spans="1:86">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c r="CG249" s="115"/>
      <c r="CH249" s="115"/>
    </row>
    <row r="250" spans="1:86">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c r="CG250" s="115"/>
      <c r="CH250" s="115"/>
    </row>
    <row r="251" spans="1:86">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15"/>
      <c r="CD251" s="115"/>
      <c r="CE251" s="115"/>
      <c r="CF251" s="115"/>
      <c r="CG251" s="115"/>
      <c r="CH251" s="115"/>
    </row>
    <row r="252" spans="1:86">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15"/>
      <c r="CD252" s="115"/>
      <c r="CE252" s="115"/>
      <c r="CF252" s="115"/>
      <c r="CG252" s="115"/>
      <c r="CH252" s="115"/>
    </row>
    <row r="253" spans="1:86">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c r="CG253" s="115"/>
      <c r="CH253" s="115"/>
    </row>
    <row r="254" spans="1:86">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c r="CG254" s="115"/>
      <c r="CH254" s="115"/>
    </row>
    <row r="255" spans="1:86">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c r="CB255" s="115"/>
      <c r="CC255" s="115"/>
      <c r="CD255" s="115"/>
      <c r="CE255" s="115"/>
      <c r="CF255" s="115"/>
      <c r="CG255" s="115"/>
      <c r="CH255" s="115"/>
    </row>
    <row r="256" spans="1:86">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15"/>
      <c r="CD256" s="115"/>
      <c r="CE256" s="115"/>
      <c r="CF256" s="115"/>
      <c r="CG256" s="115"/>
      <c r="CH256" s="115"/>
    </row>
    <row r="257" spans="1:86">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c r="CC257" s="115"/>
      <c r="CD257" s="115"/>
      <c r="CE257" s="115"/>
      <c r="CF257" s="115"/>
      <c r="CG257" s="115"/>
      <c r="CH257" s="115"/>
    </row>
    <row r="258" spans="1:86">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15"/>
      <c r="CD258" s="115"/>
      <c r="CE258" s="115"/>
      <c r="CF258" s="115"/>
      <c r="CG258" s="115"/>
      <c r="CH258" s="115"/>
    </row>
    <row r="259" spans="1:86">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15"/>
      <c r="CD259" s="115"/>
      <c r="CE259" s="115"/>
      <c r="CF259" s="115"/>
      <c r="CG259" s="115"/>
      <c r="CH259" s="115"/>
    </row>
    <row r="260" spans="1:86">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c r="CC260" s="115"/>
      <c r="CD260" s="115"/>
      <c r="CE260" s="115"/>
      <c r="CF260" s="115"/>
      <c r="CG260" s="115"/>
      <c r="CH260" s="115"/>
    </row>
    <row r="261" spans="1:86">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c r="CG261" s="115"/>
      <c r="CH261" s="115"/>
    </row>
    <row r="262" spans="1:86">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c r="CC262" s="115"/>
      <c r="CD262" s="115"/>
      <c r="CE262" s="115"/>
      <c r="CF262" s="115"/>
      <c r="CG262" s="115"/>
      <c r="CH262" s="115"/>
    </row>
    <row r="263" spans="1:86">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c r="CC263" s="115"/>
      <c r="CD263" s="115"/>
      <c r="CE263" s="115"/>
      <c r="CF263" s="115"/>
      <c r="CG263" s="115"/>
      <c r="CH263" s="115"/>
    </row>
    <row r="264" spans="1:86">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c r="CG264" s="115"/>
      <c r="CH264" s="115"/>
    </row>
    <row r="265" spans="1:86">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c r="CG265" s="115"/>
      <c r="CH265" s="115"/>
    </row>
    <row r="266" spans="1:86">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c r="CB266" s="115"/>
      <c r="CC266" s="115"/>
      <c r="CD266" s="115"/>
      <c r="CE266" s="115"/>
      <c r="CF266" s="115"/>
      <c r="CG266" s="115"/>
      <c r="CH266" s="115"/>
    </row>
    <row r="267" spans="1:86">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c r="CB267" s="115"/>
      <c r="CC267" s="115"/>
      <c r="CD267" s="115"/>
      <c r="CE267" s="115"/>
      <c r="CF267" s="115"/>
      <c r="CG267" s="115"/>
      <c r="CH267" s="115"/>
    </row>
    <row r="268" spans="1:86">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c r="BZ268" s="115"/>
      <c r="CA268" s="115"/>
      <c r="CB268" s="115"/>
      <c r="CC268" s="115"/>
      <c r="CD268" s="115"/>
      <c r="CE268" s="115"/>
      <c r="CF268" s="115"/>
      <c r="CG268" s="115"/>
      <c r="CH268" s="115"/>
    </row>
    <row r="269" spans="1:86">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c r="BZ269" s="115"/>
      <c r="CA269" s="115"/>
      <c r="CB269" s="115"/>
      <c r="CC269" s="115"/>
      <c r="CD269" s="115"/>
      <c r="CE269" s="115"/>
      <c r="CF269" s="115"/>
      <c r="CG269" s="115"/>
      <c r="CH269" s="115"/>
    </row>
    <row r="270" spans="1:86">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c r="CB270" s="115"/>
      <c r="CC270" s="115"/>
      <c r="CD270" s="115"/>
      <c r="CE270" s="115"/>
      <c r="CF270" s="115"/>
      <c r="CG270" s="115"/>
      <c r="CH270" s="115"/>
    </row>
    <row r="271" spans="1:86">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115"/>
      <c r="CA271" s="115"/>
      <c r="CB271" s="115"/>
      <c r="CC271" s="115"/>
      <c r="CD271" s="115"/>
      <c r="CE271" s="115"/>
      <c r="CF271" s="115"/>
      <c r="CG271" s="115"/>
      <c r="CH271" s="115"/>
    </row>
    <row r="272" spans="1:86">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115"/>
      <c r="CA272" s="115"/>
      <c r="CB272" s="115"/>
      <c r="CC272" s="115"/>
      <c r="CD272" s="115"/>
      <c r="CE272" s="115"/>
      <c r="CF272" s="115"/>
      <c r="CG272" s="115"/>
      <c r="CH272" s="115"/>
    </row>
    <row r="273" spans="1:86">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c r="CB273" s="115"/>
      <c r="CC273" s="115"/>
      <c r="CD273" s="115"/>
      <c r="CE273" s="115"/>
      <c r="CF273" s="115"/>
      <c r="CG273" s="115"/>
      <c r="CH273" s="115"/>
    </row>
    <row r="274" spans="1:86">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115"/>
      <c r="CA274" s="115"/>
      <c r="CB274" s="115"/>
      <c r="CC274" s="115"/>
      <c r="CD274" s="115"/>
      <c r="CE274" s="115"/>
      <c r="CF274" s="115"/>
      <c r="CG274" s="115"/>
      <c r="CH274" s="115"/>
    </row>
    <row r="275" spans="1:86">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c r="CB275" s="115"/>
      <c r="CC275" s="115"/>
      <c r="CD275" s="115"/>
      <c r="CE275" s="115"/>
      <c r="CF275" s="115"/>
      <c r="CG275" s="115"/>
      <c r="CH275" s="115"/>
    </row>
    <row r="276" spans="1:86">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115"/>
      <c r="CB276" s="115"/>
      <c r="CC276" s="115"/>
      <c r="CD276" s="115"/>
      <c r="CE276" s="115"/>
      <c r="CF276" s="115"/>
      <c r="CG276" s="115"/>
      <c r="CH276" s="115"/>
    </row>
    <row r="277" spans="1:86">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c r="CB277" s="115"/>
      <c r="CC277" s="115"/>
      <c r="CD277" s="115"/>
      <c r="CE277" s="115"/>
      <c r="CF277" s="115"/>
      <c r="CG277" s="115"/>
      <c r="CH277" s="115"/>
    </row>
    <row r="278" spans="1:86">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c r="CB278" s="115"/>
      <c r="CC278" s="115"/>
      <c r="CD278" s="115"/>
      <c r="CE278" s="115"/>
      <c r="CF278" s="115"/>
      <c r="CG278" s="115"/>
      <c r="CH278" s="115"/>
    </row>
    <row r="279" spans="1:86">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115"/>
      <c r="CB279" s="115"/>
      <c r="CC279" s="115"/>
      <c r="CD279" s="115"/>
      <c r="CE279" s="115"/>
      <c r="CF279" s="115"/>
      <c r="CG279" s="115"/>
      <c r="CH279" s="115"/>
    </row>
    <row r="280" spans="1:86">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c r="CB280" s="115"/>
      <c r="CC280" s="115"/>
      <c r="CD280" s="115"/>
      <c r="CE280" s="115"/>
      <c r="CF280" s="115"/>
      <c r="CG280" s="115"/>
      <c r="CH280" s="115"/>
    </row>
    <row r="281" spans="1:86">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c r="CB281" s="115"/>
      <c r="CC281" s="115"/>
      <c r="CD281" s="115"/>
      <c r="CE281" s="115"/>
      <c r="CF281" s="115"/>
      <c r="CG281" s="115"/>
      <c r="CH281" s="115"/>
    </row>
    <row r="282" spans="1:86">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c r="CB282" s="115"/>
      <c r="CC282" s="115"/>
      <c r="CD282" s="115"/>
      <c r="CE282" s="115"/>
      <c r="CF282" s="115"/>
      <c r="CG282" s="115"/>
      <c r="CH282" s="115"/>
    </row>
    <row r="283" spans="1:86">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c r="CA283" s="115"/>
      <c r="CB283" s="115"/>
      <c r="CC283" s="115"/>
      <c r="CD283" s="115"/>
      <c r="CE283" s="115"/>
      <c r="CF283" s="115"/>
      <c r="CG283" s="115"/>
      <c r="CH283" s="115"/>
    </row>
    <row r="284" spans="1:86">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c r="BZ284" s="115"/>
      <c r="CA284" s="115"/>
      <c r="CB284" s="115"/>
      <c r="CC284" s="115"/>
      <c r="CD284" s="115"/>
      <c r="CE284" s="115"/>
      <c r="CF284" s="115"/>
      <c r="CG284" s="115"/>
      <c r="CH284" s="115"/>
    </row>
    <row r="285" spans="1:86">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c r="BZ285" s="115"/>
      <c r="CA285" s="115"/>
      <c r="CB285" s="115"/>
      <c r="CC285" s="115"/>
      <c r="CD285" s="115"/>
      <c r="CE285" s="115"/>
      <c r="CF285" s="115"/>
      <c r="CG285" s="115"/>
      <c r="CH285" s="115"/>
    </row>
    <row r="286" spans="1:86">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c r="BZ286" s="115"/>
      <c r="CA286" s="115"/>
      <c r="CB286" s="115"/>
      <c r="CC286" s="115"/>
      <c r="CD286" s="115"/>
      <c r="CE286" s="115"/>
      <c r="CF286" s="115"/>
      <c r="CG286" s="115"/>
      <c r="CH286" s="115"/>
    </row>
    <row r="287" spans="1:86">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c r="BZ287" s="115"/>
      <c r="CA287" s="115"/>
      <c r="CB287" s="115"/>
      <c r="CC287" s="115"/>
      <c r="CD287" s="115"/>
      <c r="CE287" s="115"/>
      <c r="CF287" s="115"/>
      <c r="CG287" s="115"/>
      <c r="CH287" s="115"/>
    </row>
    <row r="288" spans="1:86">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c r="BZ288" s="115"/>
      <c r="CA288" s="115"/>
      <c r="CB288" s="115"/>
      <c r="CC288" s="115"/>
      <c r="CD288" s="115"/>
      <c r="CE288" s="115"/>
      <c r="CF288" s="115"/>
      <c r="CG288" s="115"/>
      <c r="CH288" s="115"/>
    </row>
    <row r="289" spans="1:86">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c r="BZ289" s="115"/>
      <c r="CA289" s="115"/>
      <c r="CB289" s="115"/>
      <c r="CC289" s="115"/>
      <c r="CD289" s="115"/>
      <c r="CE289" s="115"/>
      <c r="CF289" s="115"/>
      <c r="CG289" s="115"/>
      <c r="CH289" s="115"/>
    </row>
    <row r="290" spans="1:86">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c r="BZ290" s="115"/>
      <c r="CA290" s="115"/>
      <c r="CB290" s="115"/>
      <c r="CC290" s="115"/>
      <c r="CD290" s="115"/>
      <c r="CE290" s="115"/>
      <c r="CF290" s="115"/>
      <c r="CG290" s="115"/>
      <c r="CH290" s="115"/>
    </row>
    <row r="291" spans="1:86">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c r="BZ291" s="115"/>
      <c r="CA291" s="115"/>
      <c r="CB291" s="115"/>
      <c r="CC291" s="115"/>
      <c r="CD291" s="115"/>
      <c r="CE291" s="115"/>
      <c r="CF291" s="115"/>
      <c r="CG291" s="115"/>
      <c r="CH291" s="115"/>
    </row>
    <row r="292" spans="1:86">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c r="BZ292" s="115"/>
      <c r="CA292" s="115"/>
      <c r="CB292" s="115"/>
      <c r="CC292" s="115"/>
      <c r="CD292" s="115"/>
      <c r="CE292" s="115"/>
      <c r="CF292" s="115"/>
      <c r="CG292" s="115"/>
      <c r="CH292" s="115"/>
    </row>
    <row r="293" spans="1:86">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c r="BZ293" s="115"/>
      <c r="CA293" s="115"/>
      <c r="CB293" s="115"/>
      <c r="CC293" s="115"/>
      <c r="CD293" s="115"/>
      <c r="CE293" s="115"/>
      <c r="CF293" s="115"/>
      <c r="CG293" s="115"/>
      <c r="CH293" s="115"/>
    </row>
    <row r="294" spans="1:86">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c r="BZ294" s="115"/>
      <c r="CA294" s="115"/>
      <c r="CB294" s="115"/>
      <c r="CC294" s="115"/>
      <c r="CD294" s="115"/>
      <c r="CE294" s="115"/>
      <c r="CF294" s="115"/>
      <c r="CG294" s="115"/>
      <c r="CH294" s="115"/>
    </row>
    <row r="295" spans="1:86">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c r="BZ295" s="115"/>
      <c r="CA295" s="115"/>
      <c r="CB295" s="115"/>
      <c r="CC295" s="115"/>
      <c r="CD295" s="115"/>
      <c r="CE295" s="115"/>
      <c r="CF295" s="115"/>
      <c r="CG295" s="115"/>
      <c r="CH295" s="115"/>
    </row>
    <row r="296" spans="1:86">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c r="BZ296" s="115"/>
      <c r="CA296" s="115"/>
      <c r="CB296" s="115"/>
      <c r="CC296" s="115"/>
      <c r="CD296" s="115"/>
      <c r="CE296" s="115"/>
      <c r="CF296" s="115"/>
      <c r="CG296" s="115"/>
      <c r="CH296" s="115"/>
    </row>
    <row r="297" spans="1:86">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c r="BZ297" s="115"/>
      <c r="CA297" s="115"/>
      <c r="CB297" s="115"/>
      <c r="CC297" s="115"/>
      <c r="CD297" s="115"/>
      <c r="CE297" s="115"/>
      <c r="CF297" s="115"/>
      <c r="CG297" s="115"/>
      <c r="CH297" s="115"/>
    </row>
    <row r="298" spans="1:86">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c r="BZ298" s="115"/>
      <c r="CA298" s="115"/>
      <c r="CB298" s="115"/>
      <c r="CC298" s="115"/>
      <c r="CD298" s="115"/>
      <c r="CE298" s="115"/>
      <c r="CF298" s="115"/>
      <c r="CG298" s="115"/>
      <c r="CH298" s="115"/>
    </row>
    <row r="299" spans="1:86">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c r="CB299" s="115"/>
      <c r="CC299" s="115"/>
      <c r="CD299" s="115"/>
      <c r="CE299" s="115"/>
      <c r="CF299" s="115"/>
      <c r="CG299" s="115"/>
      <c r="CH299" s="115"/>
    </row>
    <row r="300" spans="1:86">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c r="BZ300" s="115"/>
      <c r="CA300" s="115"/>
      <c r="CB300" s="115"/>
      <c r="CC300" s="115"/>
      <c r="CD300" s="115"/>
      <c r="CE300" s="115"/>
      <c r="CF300" s="115"/>
      <c r="CG300" s="115"/>
      <c r="CH300" s="115"/>
    </row>
    <row r="301" spans="1:86">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115"/>
      <c r="CB301" s="115"/>
      <c r="CC301" s="115"/>
      <c r="CD301" s="115"/>
      <c r="CE301" s="115"/>
      <c r="CF301" s="115"/>
      <c r="CG301" s="115"/>
      <c r="CH301" s="115"/>
    </row>
    <row r="302" spans="1:86">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c r="BZ302" s="115"/>
      <c r="CA302" s="115"/>
      <c r="CB302" s="115"/>
      <c r="CC302" s="115"/>
      <c r="CD302" s="115"/>
      <c r="CE302" s="115"/>
      <c r="CF302" s="115"/>
      <c r="CG302" s="115"/>
      <c r="CH302" s="115"/>
    </row>
    <row r="303" spans="1:86">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c r="BZ303" s="115"/>
      <c r="CA303" s="115"/>
      <c r="CB303" s="115"/>
      <c r="CC303" s="115"/>
      <c r="CD303" s="115"/>
      <c r="CE303" s="115"/>
      <c r="CF303" s="115"/>
      <c r="CG303" s="115"/>
      <c r="CH303" s="115"/>
    </row>
    <row r="304" spans="1:86">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c r="CB304" s="115"/>
      <c r="CC304" s="115"/>
      <c r="CD304" s="115"/>
      <c r="CE304" s="115"/>
      <c r="CF304" s="115"/>
      <c r="CG304" s="115"/>
      <c r="CH304" s="115"/>
    </row>
    <row r="305" spans="1:86">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c r="BZ305" s="115"/>
      <c r="CA305" s="115"/>
      <c r="CB305" s="115"/>
      <c r="CC305" s="115"/>
      <c r="CD305" s="115"/>
      <c r="CE305" s="115"/>
      <c r="CF305" s="115"/>
      <c r="CG305" s="115"/>
      <c r="CH305" s="115"/>
    </row>
    <row r="306" spans="1:86">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c r="BZ306" s="115"/>
      <c r="CA306" s="115"/>
      <c r="CB306" s="115"/>
      <c r="CC306" s="115"/>
      <c r="CD306" s="115"/>
      <c r="CE306" s="115"/>
      <c r="CF306" s="115"/>
      <c r="CG306" s="115"/>
      <c r="CH306" s="115"/>
    </row>
    <row r="307" spans="1:86">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c r="BZ307" s="115"/>
      <c r="CA307" s="115"/>
      <c r="CB307" s="115"/>
      <c r="CC307" s="115"/>
      <c r="CD307" s="115"/>
      <c r="CE307" s="115"/>
      <c r="CF307" s="115"/>
      <c r="CG307" s="115"/>
      <c r="CH307" s="115"/>
    </row>
    <row r="308" spans="1:86">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c r="BZ308" s="115"/>
      <c r="CA308" s="115"/>
      <c r="CB308" s="115"/>
      <c r="CC308" s="115"/>
      <c r="CD308" s="115"/>
      <c r="CE308" s="115"/>
      <c r="CF308" s="115"/>
      <c r="CG308" s="115"/>
      <c r="CH308" s="115"/>
    </row>
    <row r="309" spans="1:86">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c r="BZ309" s="115"/>
      <c r="CA309" s="115"/>
      <c r="CB309" s="115"/>
      <c r="CC309" s="115"/>
      <c r="CD309" s="115"/>
      <c r="CE309" s="115"/>
      <c r="CF309" s="115"/>
      <c r="CG309" s="115"/>
      <c r="CH309" s="115"/>
    </row>
    <row r="310" spans="1:86">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c r="BZ310" s="115"/>
      <c r="CA310" s="115"/>
      <c r="CB310" s="115"/>
      <c r="CC310" s="115"/>
      <c r="CD310" s="115"/>
      <c r="CE310" s="115"/>
      <c r="CF310" s="115"/>
      <c r="CG310" s="115"/>
      <c r="CH310" s="115"/>
    </row>
    <row r="311" spans="1:86">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c r="BZ311" s="115"/>
      <c r="CA311" s="115"/>
      <c r="CB311" s="115"/>
      <c r="CC311" s="115"/>
      <c r="CD311" s="115"/>
      <c r="CE311" s="115"/>
      <c r="CF311" s="115"/>
      <c r="CG311" s="115"/>
      <c r="CH311" s="115"/>
    </row>
    <row r="312" spans="1:86">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c r="CA312" s="115"/>
      <c r="CB312" s="115"/>
      <c r="CC312" s="115"/>
      <c r="CD312" s="115"/>
      <c r="CE312" s="115"/>
      <c r="CF312" s="115"/>
      <c r="CG312" s="115"/>
      <c r="CH312" s="115"/>
    </row>
    <row r="313" spans="1:86">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c r="BZ313" s="115"/>
      <c r="CA313" s="115"/>
      <c r="CB313" s="115"/>
      <c r="CC313" s="115"/>
      <c r="CD313" s="115"/>
      <c r="CE313" s="115"/>
      <c r="CF313" s="115"/>
      <c r="CG313" s="115"/>
      <c r="CH313" s="115"/>
    </row>
    <row r="314" spans="1:86">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c r="BZ314" s="115"/>
      <c r="CA314" s="115"/>
      <c r="CB314" s="115"/>
      <c r="CC314" s="115"/>
      <c r="CD314" s="115"/>
      <c r="CE314" s="115"/>
      <c r="CF314" s="115"/>
      <c r="CG314" s="115"/>
      <c r="CH314" s="115"/>
    </row>
    <row r="315" spans="1:86">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c r="BZ315" s="115"/>
      <c r="CA315" s="115"/>
      <c r="CB315" s="115"/>
      <c r="CC315" s="115"/>
      <c r="CD315" s="115"/>
      <c r="CE315" s="115"/>
      <c r="CF315" s="115"/>
      <c r="CG315" s="115"/>
      <c r="CH315" s="115"/>
    </row>
    <row r="316" spans="1:86">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c r="CA316" s="115"/>
      <c r="CB316" s="115"/>
      <c r="CC316" s="115"/>
      <c r="CD316" s="115"/>
      <c r="CE316" s="115"/>
      <c r="CF316" s="115"/>
      <c r="CG316" s="115"/>
      <c r="CH316" s="115"/>
    </row>
    <row r="317" spans="1:86">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c r="BZ317" s="115"/>
      <c r="CA317" s="115"/>
      <c r="CB317" s="115"/>
      <c r="CC317" s="115"/>
      <c r="CD317" s="115"/>
      <c r="CE317" s="115"/>
      <c r="CF317" s="115"/>
      <c r="CG317" s="115"/>
      <c r="CH317" s="115"/>
    </row>
    <row r="318" spans="1:86">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c r="CB318" s="115"/>
      <c r="CC318" s="115"/>
      <c r="CD318" s="115"/>
      <c r="CE318" s="115"/>
      <c r="CF318" s="115"/>
      <c r="CG318" s="115"/>
      <c r="CH318" s="115"/>
    </row>
    <row r="319" spans="1:86">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c r="BZ319" s="115"/>
      <c r="CA319" s="115"/>
      <c r="CB319" s="115"/>
      <c r="CC319" s="115"/>
      <c r="CD319" s="115"/>
      <c r="CE319" s="115"/>
      <c r="CF319" s="115"/>
      <c r="CG319" s="115"/>
      <c r="CH319" s="115"/>
    </row>
    <row r="320" spans="1:86">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c r="BZ320" s="115"/>
      <c r="CA320" s="115"/>
      <c r="CB320" s="115"/>
      <c r="CC320" s="115"/>
      <c r="CD320" s="115"/>
      <c r="CE320" s="115"/>
      <c r="CF320" s="115"/>
      <c r="CG320" s="115"/>
      <c r="CH320" s="115"/>
    </row>
    <row r="321" spans="1:86">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c r="BZ321" s="115"/>
      <c r="CA321" s="115"/>
      <c r="CB321" s="115"/>
      <c r="CC321" s="115"/>
      <c r="CD321" s="115"/>
      <c r="CE321" s="115"/>
      <c r="CF321" s="115"/>
      <c r="CG321" s="115"/>
      <c r="CH321" s="115"/>
    </row>
    <row r="322" spans="1:86">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c r="BZ322" s="115"/>
      <c r="CA322" s="115"/>
      <c r="CB322" s="115"/>
      <c r="CC322" s="115"/>
      <c r="CD322" s="115"/>
      <c r="CE322" s="115"/>
      <c r="CF322" s="115"/>
      <c r="CG322" s="115"/>
      <c r="CH322" s="115"/>
    </row>
    <row r="323" spans="1:86">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c r="BZ323" s="115"/>
      <c r="CA323" s="115"/>
      <c r="CB323" s="115"/>
      <c r="CC323" s="115"/>
      <c r="CD323" s="115"/>
      <c r="CE323" s="115"/>
      <c r="CF323" s="115"/>
      <c r="CG323" s="115"/>
      <c r="CH323" s="115"/>
    </row>
    <row r="324" spans="1:86">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c r="BZ324" s="115"/>
      <c r="CA324" s="115"/>
      <c r="CB324" s="115"/>
      <c r="CC324" s="115"/>
      <c r="CD324" s="115"/>
      <c r="CE324" s="115"/>
      <c r="CF324" s="115"/>
      <c r="CG324" s="115"/>
      <c r="CH324" s="115"/>
    </row>
    <row r="325" spans="1:86">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c r="BY325" s="115"/>
      <c r="BZ325" s="115"/>
      <c r="CA325" s="115"/>
      <c r="CB325" s="115"/>
      <c r="CC325" s="115"/>
      <c r="CD325" s="115"/>
      <c r="CE325" s="115"/>
      <c r="CF325" s="115"/>
      <c r="CG325" s="115"/>
      <c r="CH325" s="115"/>
    </row>
    <row r="326" spans="1:86">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c r="BY326" s="115"/>
      <c r="BZ326" s="115"/>
      <c r="CA326" s="115"/>
      <c r="CB326" s="115"/>
      <c r="CC326" s="115"/>
      <c r="CD326" s="115"/>
      <c r="CE326" s="115"/>
      <c r="CF326" s="115"/>
      <c r="CG326" s="115"/>
      <c r="CH326" s="115"/>
    </row>
    <row r="327" spans="1:86">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c r="BY327" s="115"/>
      <c r="BZ327" s="115"/>
      <c r="CA327" s="115"/>
      <c r="CB327" s="115"/>
      <c r="CC327" s="115"/>
      <c r="CD327" s="115"/>
      <c r="CE327" s="115"/>
      <c r="CF327" s="115"/>
      <c r="CG327" s="115"/>
      <c r="CH327" s="115"/>
    </row>
    <row r="328" spans="1:86">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c r="BY328" s="115"/>
      <c r="BZ328" s="115"/>
      <c r="CA328" s="115"/>
      <c r="CB328" s="115"/>
      <c r="CC328" s="115"/>
      <c r="CD328" s="115"/>
      <c r="CE328" s="115"/>
      <c r="CF328" s="115"/>
      <c r="CG328" s="115"/>
      <c r="CH328" s="115"/>
    </row>
    <row r="329" spans="1:86">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c r="BY329" s="115"/>
      <c r="BZ329" s="115"/>
      <c r="CA329" s="115"/>
      <c r="CB329" s="115"/>
      <c r="CC329" s="115"/>
      <c r="CD329" s="115"/>
      <c r="CE329" s="115"/>
      <c r="CF329" s="115"/>
      <c r="CG329" s="115"/>
      <c r="CH329" s="115"/>
    </row>
    <row r="330" spans="1:86">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c r="BY330" s="115"/>
      <c r="BZ330" s="115"/>
      <c r="CA330" s="115"/>
      <c r="CB330" s="115"/>
      <c r="CC330" s="115"/>
      <c r="CD330" s="115"/>
      <c r="CE330" s="115"/>
      <c r="CF330" s="115"/>
      <c r="CG330" s="115"/>
      <c r="CH330" s="115"/>
    </row>
    <row r="331" spans="1:86">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c r="BY331" s="115"/>
      <c r="BZ331" s="115"/>
      <c r="CA331" s="115"/>
      <c r="CB331" s="115"/>
      <c r="CC331" s="115"/>
      <c r="CD331" s="115"/>
      <c r="CE331" s="115"/>
      <c r="CF331" s="115"/>
      <c r="CG331" s="115"/>
      <c r="CH331" s="115"/>
    </row>
    <row r="332" spans="1:86">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c r="BY332" s="115"/>
      <c r="BZ332" s="115"/>
      <c r="CA332" s="115"/>
      <c r="CB332" s="115"/>
      <c r="CC332" s="115"/>
      <c r="CD332" s="115"/>
      <c r="CE332" s="115"/>
      <c r="CF332" s="115"/>
      <c r="CG332" s="115"/>
      <c r="CH332" s="115"/>
    </row>
    <row r="333" spans="1:86">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c r="BY333" s="115"/>
      <c r="BZ333" s="115"/>
      <c r="CA333" s="115"/>
      <c r="CB333" s="115"/>
      <c r="CC333" s="115"/>
      <c r="CD333" s="115"/>
      <c r="CE333" s="115"/>
      <c r="CF333" s="115"/>
      <c r="CG333" s="115"/>
      <c r="CH333" s="115"/>
    </row>
    <row r="334" spans="1:86">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c r="CA334" s="115"/>
      <c r="CB334" s="115"/>
      <c r="CC334" s="115"/>
      <c r="CD334" s="115"/>
      <c r="CE334" s="115"/>
      <c r="CF334" s="115"/>
      <c r="CG334" s="115"/>
      <c r="CH334" s="115"/>
    </row>
    <row r="335" spans="1:86">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c r="BY335" s="115"/>
      <c r="BZ335" s="115"/>
      <c r="CA335" s="115"/>
      <c r="CB335" s="115"/>
      <c r="CC335" s="115"/>
      <c r="CD335" s="115"/>
      <c r="CE335" s="115"/>
      <c r="CF335" s="115"/>
      <c r="CG335" s="115"/>
      <c r="CH335" s="115"/>
    </row>
    <row r="336" spans="1:86">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c r="BY336" s="115"/>
      <c r="BZ336" s="115"/>
      <c r="CA336" s="115"/>
      <c r="CB336" s="115"/>
      <c r="CC336" s="115"/>
      <c r="CD336" s="115"/>
      <c r="CE336" s="115"/>
      <c r="CF336" s="115"/>
      <c r="CG336" s="115"/>
      <c r="CH336" s="115"/>
    </row>
    <row r="337" spans="1:86">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c r="BY337" s="115"/>
      <c r="BZ337" s="115"/>
      <c r="CA337" s="115"/>
      <c r="CB337" s="115"/>
      <c r="CC337" s="115"/>
      <c r="CD337" s="115"/>
      <c r="CE337" s="115"/>
      <c r="CF337" s="115"/>
      <c r="CG337" s="115"/>
      <c r="CH337" s="115"/>
    </row>
    <row r="338" spans="1:86">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c r="BY338" s="115"/>
      <c r="BZ338" s="115"/>
      <c r="CA338" s="115"/>
      <c r="CB338" s="115"/>
      <c r="CC338" s="115"/>
      <c r="CD338" s="115"/>
      <c r="CE338" s="115"/>
      <c r="CF338" s="115"/>
      <c r="CG338" s="115"/>
      <c r="CH338" s="115"/>
    </row>
    <row r="339" spans="1:86">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115"/>
      <c r="CB339" s="115"/>
      <c r="CC339" s="115"/>
      <c r="CD339" s="115"/>
      <c r="CE339" s="115"/>
      <c r="CF339" s="115"/>
      <c r="CG339" s="115"/>
      <c r="CH339" s="115"/>
    </row>
    <row r="340" spans="1:86">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c r="BY340" s="115"/>
      <c r="BZ340" s="115"/>
      <c r="CA340" s="115"/>
      <c r="CB340" s="115"/>
      <c r="CC340" s="115"/>
      <c r="CD340" s="115"/>
      <c r="CE340" s="115"/>
      <c r="CF340" s="115"/>
      <c r="CG340" s="115"/>
      <c r="CH340" s="115"/>
    </row>
    <row r="341" spans="1:86">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c r="BY341" s="115"/>
      <c r="BZ341" s="115"/>
      <c r="CA341" s="115"/>
      <c r="CB341" s="115"/>
      <c r="CC341" s="115"/>
      <c r="CD341" s="115"/>
      <c r="CE341" s="115"/>
      <c r="CF341" s="115"/>
      <c r="CG341" s="115"/>
      <c r="CH341" s="115"/>
    </row>
    <row r="342" spans="1:86">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c r="CA342" s="115"/>
      <c r="CB342" s="115"/>
      <c r="CC342" s="115"/>
      <c r="CD342" s="115"/>
      <c r="CE342" s="115"/>
      <c r="CF342" s="115"/>
      <c r="CG342" s="115"/>
      <c r="CH342" s="115"/>
    </row>
    <row r="343" spans="1:86">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c r="CA343" s="115"/>
      <c r="CB343" s="115"/>
      <c r="CC343" s="115"/>
      <c r="CD343" s="115"/>
      <c r="CE343" s="115"/>
      <c r="CF343" s="115"/>
      <c r="CG343" s="115"/>
      <c r="CH343" s="115"/>
    </row>
    <row r="344" spans="1:86">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c r="BY344" s="115"/>
      <c r="BZ344" s="115"/>
      <c r="CA344" s="115"/>
      <c r="CB344" s="115"/>
      <c r="CC344" s="115"/>
      <c r="CD344" s="115"/>
      <c r="CE344" s="115"/>
      <c r="CF344" s="115"/>
      <c r="CG344" s="115"/>
      <c r="CH344" s="115"/>
    </row>
    <row r="345" spans="1:86">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c r="BY345" s="115"/>
      <c r="BZ345" s="115"/>
      <c r="CA345" s="115"/>
      <c r="CB345" s="115"/>
      <c r="CC345" s="115"/>
      <c r="CD345" s="115"/>
      <c r="CE345" s="115"/>
      <c r="CF345" s="115"/>
      <c r="CG345" s="115"/>
      <c r="CH345" s="115"/>
    </row>
    <row r="346" spans="1:86">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c r="BY346" s="115"/>
      <c r="BZ346" s="115"/>
      <c r="CA346" s="115"/>
      <c r="CB346" s="115"/>
      <c r="CC346" s="115"/>
      <c r="CD346" s="115"/>
      <c r="CE346" s="115"/>
      <c r="CF346" s="115"/>
      <c r="CG346" s="115"/>
      <c r="CH346" s="115"/>
    </row>
    <row r="347" spans="1:86">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c r="BY347" s="115"/>
      <c r="BZ347" s="115"/>
      <c r="CA347" s="115"/>
      <c r="CB347" s="115"/>
      <c r="CC347" s="115"/>
      <c r="CD347" s="115"/>
      <c r="CE347" s="115"/>
      <c r="CF347" s="115"/>
      <c r="CG347" s="115"/>
      <c r="CH347" s="115"/>
    </row>
    <row r="348" spans="1:86">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c r="BY348" s="115"/>
      <c r="BZ348" s="115"/>
      <c r="CA348" s="115"/>
      <c r="CB348" s="115"/>
      <c r="CC348" s="115"/>
      <c r="CD348" s="115"/>
      <c r="CE348" s="115"/>
      <c r="CF348" s="115"/>
      <c r="CG348" s="115"/>
      <c r="CH348" s="115"/>
    </row>
    <row r="349" spans="1:86">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c r="BY349" s="115"/>
      <c r="BZ349" s="115"/>
      <c r="CA349" s="115"/>
      <c r="CB349" s="115"/>
      <c r="CC349" s="115"/>
      <c r="CD349" s="115"/>
      <c r="CE349" s="115"/>
      <c r="CF349" s="115"/>
      <c r="CG349" s="115"/>
      <c r="CH349" s="115"/>
    </row>
    <row r="350" spans="1:86">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c r="BY350" s="115"/>
      <c r="BZ350" s="115"/>
      <c r="CA350" s="115"/>
      <c r="CB350" s="115"/>
      <c r="CC350" s="115"/>
      <c r="CD350" s="115"/>
      <c r="CE350" s="115"/>
      <c r="CF350" s="115"/>
      <c r="CG350" s="115"/>
      <c r="CH350" s="115"/>
    </row>
    <row r="351" spans="1:86">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c r="BY351" s="115"/>
      <c r="BZ351" s="115"/>
      <c r="CA351" s="115"/>
      <c r="CB351" s="115"/>
      <c r="CC351" s="115"/>
      <c r="CD351" s="115"/>
      <c r="CE351" s="115"/>
      <c r="CF351" s="115"/>
      <c r="CG351" s="115"/>
      <c r="CH351" s="115"/>
    </row>
    <row r="352" spans="1:86">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c r="BY352" s="115"/>
      <c r="BZ352" s="115"/>
      <c r="CA352" s="115"/>
      <c r="CB352" s="115"/>
      <c r="CC352" s="115"/>
      <c r="CD352" s="115"/>
      <c r="CE352" s="115"/>
      <c r="CF352" s="115"/>
      <c r="CG352" s="115"/>
      <c r="CH352" s="115"/>
    </row>
    <row r="353" spans="1:86">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c r="BY353" s="115"/>
      <c r="BZ353" s="115"/>
      <c r="CA353" s="115"/>
      <c r="CB353" s="115"/>
      <c r="CC353" s="115"/>
      <c r="CD353" s="115"/>
      <c r="CE353" s="115"/>
      <c r="CF353" s="115"/>
      <c r="CG353" s="115"/>
      <c r="CH353" s="115"/>
    </row>
    <row r="354" spans="1:86">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c r="BY354" s="115"/>
      <c r="BZ354" s="115"/>
      <c r="CA354" s="115"/>
      <c r="CB354" s="115"/>
      <c r="CC354" s="115"/>
      <c r="CD354" s="115"/>
      <c r="CE354" s="115"/>
      <c r="CF354" s="115"/>
      <c r="CG354" s="115"/>
      <c r="CH354" s="115"/>
    </row>
    <row r="355" spans="1:86">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c r="BY355" s="115"/>
      <c r="BZ355" s="115"/>
      <c r="CA355" s="115"/>
      <c r="CB355" s="115"/>
      <c r="CC355" s="115"/>
      <c r="CD355" s="115"/>
      <c r="CE355" s="115"/>
      <c r="CF355" s="115"/>
      <c r="CG355" s="115"/>
      <c r="CH355" s="115"/>
    </row>
    <row r="356" spans="1:86">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c r="BY356" s="115"/>
      <c r="BZ356" s="115"/>
      <c r="CA356" s="115"/>
      <c r="CB356" s="115"/>
      <c r="CC356" s="115"/>
      <c r="CD356" s="115"/>
      <c r="CE356" s="115"/>
      <c r="CF356" s="115"/>
      <c r="CG356" s="115"/>
      <c r="CH356" s="115"/>
    </row>
    <row r="357" spans="1:86">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c r="BY357" s="115"/>
      <c r="BZ357" s="115"/>
      <c r="CA357" s="115"/>
      <c r="CB357" s="115"/>
      <c r="CC357" s="115"/>
      <c r="CD357" s="115"/>
      <c r="CE357" s="115"/>
      <c r="CF357" s="115"/>
      <c r="CG357" s="115"/>
      <c r="CH357" s="115"/>
    </row>
    <row r="358" spans="1:86">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c r="BY358" s="115"/>
      <c r="BZ358" s="115"/>
      <c r="CA358" s="115"/>
      <c r="CB358" s="115"/>
      <c r="CC358" s="115"/>
      <c r="CD358" s="115"/>
      <c r="CE358" s="115"/>
      <c r="CF358" s="115"/>
      <c r="CG358" s="115"/>
      <c r="CH358" s="115"/>
    </row>
    <row r="359" spans="1:86">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c r="BY359" s="115"/>
      <c r="BZ359" s="115"/>
      <c r="CA359" s="115"/>
      <c r="CB359" s="115"/>
      <c r="CC359" s="115"/>
      <c r="CD359" s="115"/>
      <c r="CE359" s="115"/>
      <c r="CF359" s="115"/>
      <c r="CG359" s="115"/>
      <c r="CH359" s="115"/>
    </row>
    <row r="360" spans="1:86">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c r="BY360" s="115"/>
      <c r="BZ360" s="115"/>
      <c r="CA360" s="115"/>
      <c r="CB360" s="115"/>
      <c r="CC360" s="115"/>
      <c r="CD360" s="115"/>
      <c r="CE360" s="115"/>
      <c r="CF360" s="115"/>
      <c r="CG360" s="115"/>
      <c r="CH360" s="115"/>
    </row>
    <row r="361" spans="1:86">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c r="BY361" s="115"/>
      <c r="BZ361" s="115"/>
      <c r="CA361" s="115"/>
      <c r="CB361" s="115"/>
      <c r="CC361" s="115"/>
      <c r="CD361" s="115"/>
      <c r="CE361" s="115"/>
      <c r="CF361" s="115"/>
      <c r="CG361" s="115"/>
      <c r="CH361" s="115"/>
    </row>
    <row r="362" spans="1:86">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c r="BY362" s="115"/>
      <c r="BZ362" s="115"/>
      <c r="CA362" s="115"/>
      <c r="CB362" s="115"/>
      <c r="CC362" s="115"/>
      <c r="CD362" s="115"/>
      <c r="CE362" s="115"/>
      <c r="CF362" s="115"/>
      <c r="CG362" s="115"/>
      <c r="CH362" s="115"/>
    </row>
    <row r="363" spans="1:86">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c r="BY363" s="115"/>
      <c r="BZ363" s="115"/>
      <c r="CA363" s="115"/>
      <c r="CB363" s="115"/>
      <c r="CC363" s="115"/>
      <c r="CD363" s="115"/>
      <c r="CE363" s="115"/>
      <c r="CF363" s="115"/>
      <c r="CG363" s="115"/>
      <c r="CH363" s="115"/>
    </row>
    <row r="364" spans="1:86">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c r="BY364" s="115"/>
      <c r="BZ364" s="115"/>
      <c r="CA364" s="115"/>
      <c r="CB364" s="115"/>
      <c r="CC364" s="115"/>
      <c r="CD364" s="115"/>
      <c r="CE364" s="115"/>
      <c r="CF364" s="115"/>
      <c r="CG364" s="115"/>
      <c r="CH364" s="115"/>
    </row>
    <row r="365" spans="1:86">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c r="BY365" s="115"/>
      <c r="BZ365" s="115"/>
      <c r="CA365" s="115"/>
      <c r="CB365" s="115"/>
      <c r="CC365" s="115"/>
      <c r="CD365" s="115"/>
      <c r="CE365" s="115"/>
      <c r="CF365" s="115"/>
      <c r="CG365" s="115"/>
      <c r="CH365" s="115"/>
    </row>
    <row r="366" spans="1:86">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c r="BY366" s="115"/>
      <c r="BZ366" s="115"/>
      <c r="CA366" s="115"/>
      <c r="CB366" s="115"/>
      <c r="CC366" s="115"/>
      <c r="CD366" s="115"/>
      <c r="CE366" s="115"/>
      <c r="CF366" s="115"/>
      <c r="CG366" s="115"/>
      <c r="CH366" s="115"/>
    </row>
    <row r="367" spans="1:86">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c r="BY367" s="115"/>
      <c r="BZ367" s="115"/>
      <c r="CA367" s="115"/>
      <c r="CB367" s="115"/>
      <c r="CC367" s="115"/>
      <c r="CD367" s="115"/>
      <c r="CE367" s="115"/>
      <c r="CF367" s="115"/>
      <c r="CG367" s="115"/>
      <c r="CH367" s="115"/>
    </row>
    <row r="368" spans="1:86">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c r="BY368" s="115"/>
      <c r="BZ368" s="115"/>
      <c r="CA368" s="115"/>
      <c r="CB368" s="115"/>
      <c r="CC368" s="115"/>
      <c r="CD368" s="115"/>
      <c r="CE368" s="115"/>
      <c r="CF368" s="115"/>
      <c r="CG368" s="115"/>
      <c r="CH368" s="115"/>
    </row>
    <row r="369" spans="1:86">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c r="BY369" s="115"/>
      <c r="BZ369" s="115"/>
      <c r="CA369" s="115"/>
      <c r="CB369" s="115"/>
      <c r="CC369" s="115"/>
      <c r="CD369" s="115"/>
      <c r="CE369" s="115"/>
      <c r="CF369" s="115"/>
      <c r="CG369" s="115"/>
      <c r="CH369" s="115"/>
    </row>
    <row r="370" spans="1:86">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c r="BY370" s="115"/>
      <c r="BZ370" s="115"/>
      <c r="CA370" s="115"/>
      <c r="CB370" s="115"/>
      <c r="CC370" s="115"/>
      <c r="CD370" s="115"/>
      <c r="CE370" s="115"/>
      <c r="CF370" s="115"/>
      <c r="CG370" s="115"/>
      <c r="CH370" s="115"/>
    </row>
    <row r="371" spans="1:86">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c r="BY371" s="115"/>
      <c r="BZ371" s="115"/>
      <c r="CA371" s="115"/>
      <c r="CB371" s="115"/>
      <c r="CC371" s="115"/>
      <c r="CD371" s="115"/>
      <c r="CE371" s="115"/>
      <c r="CF371" s="115"/>
      <c r="CG371" s="115"/>
      <c r="CH371" s="115"/>
    </row>
    <row r="372" spans="1:86">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c r="BY372" s="115"/>
      <c r="BZ372" s="115"/>
      <c r="CA372" s="115"/>
      <c r="CB372" s="115"/>
      <c r="CC372" s="115"/>
      <c r="CD372" s="115"/>
      <c r="CE372" s="115"/>
      <c r="CF372" s="115"/>
      <c r="CG372" s="115"/>
      <c r="CH372" s="115"/>
    </row>
    <row r="373" spans="1:86">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c r="BY373" s="115"/>
      <c r="BZ373" s="115"/>
      <c r="CA373" s="115"/>
      <c r="CB373" s="115"/>
      <c r="CC373" s="115"/>
      <c r="CD373" s="115"/>
      <c r="CE373" s="115"/>
      <c r="CF373" s="115"/>
      <c r="CG373" s="115"/>
      <c r="CH373" s="115"/>
    </row>
    <row r="374" spans="1:86">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c r="BY374" s="115"/>
      <c r="BZ374" s="115"/>
      <c r="CA374" s="115"/>
      <c r="CB374" s="115"/>
      <c r="CC374" s="115"/>
      <c r="CD374" s="115"/>
      <c r="CE374" s="115"/>
      <c r="CF374" s="115"/>
      <c r="CG374" s="115"/>
      <c r="CH374" s="115"/>
    </row>
    <row r="375" spans="1:86">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c r="BY375" s="115"/>
      <c r="BZ375" s="115"/>
      <c r="CA375" s="115"/>
      <c r="CB375" s="115"/>
      <c r="CC375" s="115"/>
      <c r="CD375" s="115"/>
      <c r="CE375" s="115"/>
      <c r="CF375" s="115"/>
      <c r="CG375" s="115"/>
      <c r="CH375" s="115"/>
    </row>
    <row r="376" spans="1:86">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c r="BY376" s="115"/>
      <c r="BZ376" s="115"/>
      <c r="CA376" s="115"/>
      <c r="CB376" s="115"/>
      <c r="CC376" s="115"/>
      <c r="CD376" s="115"/>
      <c r="CE376" s="115"/>
      <c r="CF376" s="115"/>
      <c r="CG376" s="115"/>
      <c r="CH376" s="115"/>
    </row>
    <row r="377" spans="1:86">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c r="BY377" s="115"/>
      <c r="BZ377" s="115"/>
      <c r="CA377" s="115"/>
      <c r="CB377" s="115"/>
      <c r="CC377" s="115"/>
      <c r="CD377" s="115"/>
      <c r="CE377" s="115"/>
      <c r="CF377" s="115"/>
      <c r="CG377" s="115"/>
      <c r="CH377" s="115"/>
    </row>
    <row r="378" spans="1:86">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c r="BY378" s="115"/>
      <c r="BZ378" s="115"/>
      <c r="CA378" s="115"/>
      <c r="CB378" s="115"/>
      <c r="CC378" s="115"/>
      <c r="CD378" s="115"/>
      <c r="CE378" s="115"/>
      <c r="CF378" s="115"/>
      <c r="CG378" s="115"/>
      <c r="CH378" s="115"/>
    </row>
    <row r="379" spans="1:86">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c r="BY379" s="115"/>
      <c r="BZ379" s="115"/>
      <c r="CA379" s="115"/>
      <c r="CB379" s="115"/>
      <c r="CC379" s="115"/>
      <c r="CD379" s="115"/>
      <c r="CE379" s="115"/>
      <c r="CF379" s="115"/>
      <c r="CG379" s="115"/>
      <c r="CH379" s="115"/>
    </row>
    <row r="380" spans="1:86">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c r="BY380" s="115"/>
      <c r="BZ380" s="115"/>
      <c r="CA380" s="115"/>
      <c r="CB380" s="115"/>
      <c r="CC380" s="115"/>
      <c r="CD380" s="115"/>
      <c r="CE380" s="115"/>
      <c r="CF380" s="115"/>
      <c r="CG380" s="115"/>
      <c r="CH380" s="115"/>
    </row>
    <row r="381" spans="1:86">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c r="BY381" s="115"/>
      <c r="BZ381" s="115"/>
      <c r="CA381" s="115"/>
      <c r="CB381" s="115"/>
      <c r="CC381" s="115"/>
      <c r="CD381" s="115"/>
      <c r="CE381" s="115"/>
      <c r="CF381" s="115"/>
      <c r="CG381" s="115"/>
      <c r="CH381" s="115"/>
    </row>
    <row r="382" spans="1:86">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c r="BY382" s="115"/>
      <c r="BZ382" s="115"/>
      <c r="CA382" s="115"/>
      <c r="CB382" s="115"/>
      <c r="CC382" s="115"/>
      <c r="CD382" s="115"/>
      <c r="CE382" s="115"/>
      <c r="CF382" s="115"/>
      <c r="CG382" s="115"/>
      <c r="CH382" s="115"/>
    </row>
    <row r="383" spans="1:86">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c r="BY383" s="115"/>
      <c r="BZ383" s="115"/>
      <c r="CA383" s="115"/>
      <c r="CB383" s="115"/>
      <c r="CC383" s="115"/>
      <c r="CD383" s="115"/>
      <c r="CE383" s="115"/>
      <c r="CF383" s="115"/>
      <c r="CG383" s="115"/>
      <c r="CH383" s="115"/>
    </row>
    <row r="384" spans="1:86">
      <c r="C384" s="115"/>
      <c r="D384" s="115"/>
      <c r="E384" s="115"/>
      <c r="F384" s="115"/>
      <c r="G384" s="115"/>
      <c r="H384" s="115"/>
      <c r="I384" s="115"/>
      <c r="J384" s="115"/>
      <c r="K384" s="115"/>
      <c r="L384" s="115"/>
      <c r="M384" s="115"/>
      <c r="N384" s="115"/>
      <c r="O384" s="115"/>
      <c r="P384" s="115"/>
      <c r="Q384" s="115"/>
    </row>
    <row r="385" spans="3:17">
      <c r="C385" s="115"/>
      <c r="D385" s="115"/>
      <c r="E385" s="115"/>
      <c r="F385" s="115"/>
      <c r="G385" s="115"/>
      <c r="H385" s="115"/>
      <c r="I385" s="115"/>
      <c r="J385" s="115"/>
      <c r="K385" s="115"/>
      <c r="L385" s="115"/>
      <c r="M385" s="115"/>
      <c r="N385" s="115"/>
      <c r="O385" s="115"/>
      <c r="P385" s="115"/>
      <c r="Q385" s="115"/>
    </row>
  </sheetData>
  <sheetProtection selectLockedCells="1"/>
  <mergeCells count="49">
    <mergeCell ref="C37:G37"/>
    <mergeCell ref="N6:P6"/>
    <mergeCell ref="C21:D22"/>
    <mergeCell ref="K6:M6"/>
    <mergeCell ref="O8:O9"/>
    <mergeCell ref="E22:F22"/>
    <mergeCell ref="G22:H22"/>
    <mergeCell ref="I22:J22"/>
    <mergeCell ref="K22:L22"/>
    <mergeCell ref="D7:D9"/>
    <mergeCell ref="D6:G6"/>
    <mergeCell ref="H6:J6"/>
    <mergeCell ref="B8:B9"/>
    <mergeCell ref="C8:C9"/>
    <mergeCell ref="K8:K9"/>
    <mergeCell ref="AL7:AL9"/>
    <mergeCell ref="C20:O20"/>
    <mergeCell ref="AJ7:AJ9"/>
    <mergeCell ref="AK7:AK9"/>
    <mergeCell ref="AH7:AH9"/>
    <mergeCell ref="AA7:AA9"/>
    <mergeCell ref="AC7:AC9"/>
    <mergeCell ref="V9:W9"/>
    <mergeCell ref="V7:X8"/>
    <mergeCell ref="AB7:AB9"/>
    <mergeCell ref="L7:L9"/>
    <mergeCell ref="S9:T9"/>
    <mergeCell ref="S7:U8"/>
    <mergeCell ref="AI7:AI9"/>
    <mergeCell ref="P7:P9"/>
    <mergeCell ref="G7:G9"/>
    <mergeCell ref="E7:E9"/>
    <mergeCell ref="E21:H21"/>
    <mergeCell ref="I21:L21"/>
    <mergeCell ref="M21:O22"/>
    <mergeCell ref="H7:H9"/>
    <mergeCell ref="I7:I9"/>
    <mergeCell ref="J7:J9"/>
    <mergeCell ref="F7:F9"/>
    <mergeCell ref="AG7:AG9"/>
    <mergeCell ref="Q7:Q9"/>
    <mergeCell ref="R7:R9"/>
    <mergeCell ref="AF7:AF9"/>
    <mergeCell ref="AD7:AD9"/>
    <mergeCell ref="AE7:AE9"/>
    <mergeCell ref="Y7:Y9"/>
    <mergeCell ref="Z7:Z9"/>
    <mergeCell ref="M8:M9"/>
    <mergeCell ref="N8:N9"/>
  </mergeCells>
  <conditionalFormatting sqref="H10:J17">
    <cfRule type="expression" dxfId="33" priority="3" stopIfTrue="1">
      <formula>IF($D10="New Construction", TRUE, FALSE)</formula>
    </cfRule>
  </conditionalFormatting>
  <conditionalFormatting sqref="AE10:AG17">
    <cfRule type="expression" dxfId="32" priority="208" stopIfTrue="1">
      <formula>IF($AI10="No", TRUE, FALSE)</formula>
    </cfRule>
  </conditionalFormatting>
  <conditionalFormatting sqref="AI10:AI17">
    <cfRule type="expression" dxfId="31" priority="1">
      <formula>IF($AI10="No", TRUE, FALSE)</formula>
    </cfRule>
  </conditionalFormatting>
  <dataValidations count="6">
    <dataValidation type="list" allowBlank="1" showInputMessage="1" showErrorMessage="1" sqref="F10:F17" xr:uid="{00000000-0002-0000-0300-000000000000}">
      <formula1>Zip_Code</formula1>
    </dataValidation>
    <dataValidation type="list" allowBlank="1" showInputMessage="1" showErrorMessage="1" sqref="D10:D17" xr:uid="{00000000-0002-0000-0300-000001000000}">
      <formula1>Project_Type</formula1>
    </dataValidation>
    <dataValidation type="decimal" allowBlank="1" showInputMessage="1" showErrorMessage="1" sqref="U10:U17 X10:X17" xr:uid="{00000000-0002-0000-0300-000003000000}">
      <formula1>0</formula1>
      <formula2>2</formula2>
    </dataValidation>
    <dataValidation type="list" allowBlank="1" showInputMessage="1" showErrorMessage="1" sqref="P10:P17" xr:uid="{00000000-0002-0000-0300-000004000000}">
      <formula1>$T$24:$T$25</formula1>
    </dataValidation>
    <dataValidation type="list" allowBlank="1" showInputMessage="1" showErrorMessage="1" sqref="E10:E17" xr:uid="{00000000-0002-0000-0300-000005000000}">
      <formula1>Chiller_Facility_Types</formula1>
    </dataValidation>
    <dataValidation type="list" allowBlank="1" showInputMessage="1" showErrorMessage="1" sqref="L10:L17" xr:uid="{00000000-0002-0000-0300-000002000000}">
      <formula1>$C$27:$C$29</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filterMode="1"/>
  <dimension ref="A1:CR161"/>
  <sheetViews>
    <sheetView zoomScale="80" zoomScaleNormal="80" workbookViewId="0">
      <selection activeCell="AB11" sqref="AB11:AB12"/>
    </sheetView>
  </sheetViews>
  <sheetFormatPr defaultColWidth="9.140625" defaultRowHeight="14.25"/>
  <cols>
    <col min="1" max="1" width="1.42578125" style="123" customWidth="1"/>
    <col min="2" max="2" width="6" style="123" customWidth="1"/>
    <col min="3" max="3" width="28.7109375" style="123" customWidth="1"/>
    <col min="4" max="4" width="52.28515625" style="123" bestFit="1" customWidth="1"/>
    <col min="5" max="5" width="31.85546875" style="123" customWidth="1"/>
    <col min="6" max="6" width="13.7109375" style="123" customWidth="1"/>
    <col min="7" max="7" width="14.85546875" style="123" customWidth="1"/>
    <col min="8" max="8" width="19.5703125" style="123" customWidth="1"/>
    <col min="9" max="11" width="15.5703125" style="123" customWidth="1"/>
    <col min="12" max="12" width="9.140625" style="123" customWidth="1"/>
    <col min="13" max="13" width="34.7109375" style="123" customWidth="1"/>
    <col min="14" max="14" width="20.7109375" style="123" customWidth="1"/>
    <col min="15" max="15" width="18.5703125" style="123" customWidth="1"/>
    <col min="16" max="16" width="17.28515625" style="123" customWidth="1"/>
    <col min="17" max="17" width="15.5703125" style="123" customWidth="1"/>
    <col min="18" max="20" width="12.85546875" style="123" customWidth="1"/>
    <col min="21" max="21" width="16" style="123" customWidth="1"/>
    <col min="22" max="22" width="14.42578125" style="123" customWidth="1"/>
    <col min="23" max="24" width="8.5703125" style="123" customWidth="1"/>
    <col min="25" max="25" width="14.85546875" style="123" customWidth="1"/>
    <col min="26" max="27" width="8.5703125" style="123" customWidth="1"/>
    <col min="28" max="28" width="10.140625" style="123" customWidth="1"/>
    <col min="29" max="29" width="18" style="123" hidden="1" customWidth="1"/>
    <col min="30" max="30" width="7.7109375" style="123" hidden="1" customWidth="1"/>
    <col min="31" max="31" width="11.85546875" style="123" hidden="1" customWidth="1"/>
    <col min="32" max="32" width="12.140625" style="123" hidden="1" customWidth="1"/>
    <col min="33" max="33" width="8.140625" style="123" hidden="1" customWidth="1"/>
    <col min="34" max="34" width="7.140625" style="123" hidden="1" customWidth="1"/>
    <col min="35" max="35" width="8" style="123" hidden="1" customWidth="1"/>
    <col min="36" max="36" width="9.5703125" style="123" hidden="1" customWidth="1"/>
    <col min="37" max="37" width="8.7109375" style="123" hidden="1" customWidth="1"/>
    <col min="38" max="38" width="8.140625" style="123" hidden="1" customWidth="1"/>
    <col min="39" max="39" width="11" style="123" customWidth="1"/>
    <col min="40" max="40" width="12.42578125" style="123" customWidth="1"/>
    <col min="41" max="41" width="13.140625" style="123" customWidth="1"/>
    <col min="42" max="42" width="11.85546875" style="123" customWidth="1"/>
    <col min="43" max="43" width="21.85546875" style="123" hidden="1" customWidth="1"/>
    <col min="44" max="44" width="50.7109375" style="123" hidden="1" customWidth="1"/>
    <col min="45" max="45" width="11.140625" style="123" customWidth="1"/>
    <col min="46" max="46" width="20.140625" style="123" hidden="1" customWidth="1"/>
    <col min="47" max="47" width="14.140625" style="123" hidden="1" customWidth="1"/>
    <col min="48" max="50" width="16.5703125" style="123" hidden="1" customWidth="1"/>
    <col min="51" max="51" width="21.42578125" style="123" hidden="1" customWidth="1"/>
    <col min="52" max="52" width="20.7109375" style="123" hidden="1" customWidth="1"/>
    <col min="53" max="53" width="13.7109375" style="123" hidden="1" customWidth="1"/>
    <col min="54" max="54" width="11.42578125" style="123" hidden="1" customWidth="1"/>
    <col min="55" max="55" width="24" style="123" bestFit="1" customWidth="1"/>
    <col min="56" max="56" width="24.5703125" style="123" bestFit="1" customWidth="1"/>
    <col min="57" max="59" width="10" style="123" customWidth="1"/>
    <col min="60" max="61" width="10.28515625" style="123" customWidth="1"/>
    <col min="62" max="64" width="13.140625" style="123" customWidth="1"/>
    <col min="65" max="16384" width="9.140625" style="123"/>
  </cols>
  <sheetData>
    <row r="1" spans="1:96" s="286" customFormat="1" ht="29.25" customHeight="1">
      <c r="A1" s="127"/>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c r="CL1" s="127"/>
      <c r="CM1" s="127"/>
      <c r="CN1" s="127"/>
      <c r="CO1" s="127"/>
      <c r="CP1" s="127"/>
      <c r="CQ1" s="127"/>
      <c r="CR1" s="127"/>
    </row>
    <row r="2" spans="1:96" ht="29.25" customHeight="1">
      <c r="A2" s="115"/>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row>
    <row r="3" spans="1:96" ht="29.25" customHeight="1">
      <c r="A3" s="115"/>
      <c r="B3" s="266"/>
      <c r="C3" s="266"/>
      <c r="D3" s="188"/>
      <c r="E3" s="188"/>
      <c r="F3" s="188"/>
      <c r="G3" s="188"/>
      <c r="H3" s="188"/>
      <c r="I3" s="165"/>
      <c r="J3" s="165"/>
      <c r="K3" s="165"/>
      <c r="L3" s="165"/>
      <c r="M3" s="165"/>
      <c r="N3" s="165"/>
      <c r="O3" s="165"/>
      <c r="P3" s="165"/>
      <c r="Q3" s="165"/>
      <c r="R3" s="189"/>
      <c r="S3" s="183"/>
      <c r="T3" s="183"/>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row>
    <row r="4" spans="1:96" s="115" customFormat="1" ht="27" customHeight="1">
      <c r="B4" s="165"/>
      <c r="C4" s="165"/>
      <c r="D4" s="188"/>
      <c r="E4" s="188"/>
      <c r="F4" s="188"/>
      <c r="G4" s="188"/>
      <c r="H4" s="188"/>
      <c r="I4" s="165"/>
      <c r="J4" s="165"/>
      <c r="K4" s="165"/>
      <c r="L4" s="165"/>
      <c r="M4" s="165"/>
      <c r="N4" s="165"/>
      <c r="O4" s="165"/>
      <c r="P4" s="165"/>
      <c r="Q4" s="165"/>
      <c r="R4" s="183"/>
      <c r="S4" s="183"/>
      <c r="T4" s="183"/>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row>
    <row r="5" spans="1:96" s="115" customFormat="1" ht="1.5" customHeight="1">
      <c r="D5" s="148"/>
      <c r="E5" s="148"/>
      <c r="F5" s="148"/>
      <c r="G5" s="148"/>
      <c r="H5" s="148"/>
      <c r="R5" s="124"/>
      <c r="S5" s="124"/>
      <c r="T5" s="124"/>
    </row>
    <row r="6" spans="1:96" s="115" customFormat="1" ht="14.25" customHeight="1">
      <c r="B6" s="143"/>
      <c r="C6" s="143"/>
      <c r="D6" s="732" t="s">
        <v>177</v>
      </c>
      <c r="E6" s="727"/>
      <c r="F6" s="727"/>
      <c r="G6" s="736"/>
      <c r="H6" s="732" t="s">
        <v>178</v>
      </c>
      <c r="I6" s="727"/>
      <c r="J6" s="727"/>
      <c r="K6" s="736"/>
      <c r="L6" s="727" t="s">
        <v>114</v>
      </c>
      <c r="M6" s="727"/>
      <c r="N6" s="727"/>
      <c r="O6" s="727"/>
      <c r="P6" s="734"/>
      <c r="Q6" s="734"/>
      <c r="R6" s="734"/>
      <c r="S6" s="734"/>
      <c r="T6" s="734"/>
      <c r="U6" s="734"/>
      <c r="V6" s="734"/>
      <c r="W6" s="460"/>
      <c r="X6" s="460"/>
      <c r="Y6" s="734"/>
      <c r="Z6" s="734"/>
      <c r="AA6" s="734"/>
      <c r="AB6" s="734"/>
      <c r="AC6" s="146"/>
      <c r="AD6" s="146"/>
      <c r="AE6" s="146"/>
      <c r="AF6" s="146"/>
      <c r="AG6" s="146"/>
      <c r="AH6" s="146"/>
      <c r="AI6" s="146"/>
      <c r="AJ6" s="146"/>
      <c r="AK6" s="146"/>
      <c r="AL6" s="146"/>
      <c r="AM6" s="696" t="s">
        <v>179</v>
      </c>
      <c r="AN6" s="143"/>
      <c r="AO6" s="143"/>
      <c r="AP6" s="143"/>
      <c r="AQ6" s="146"/>
      <c r="AR6" s="146"/>
      <c r="AS6" s="143"/>
      <c r="AT6" s="146"/>
      <c r="AU6" s="146"/>
      <c r="AV6" s="146"/>
      <c r="AW6" s="146"/>
      <c r="AX6" s="146"/>
      <c r="AY6" s="146"/>
      <c r="AZ6" s="146"/>
      <c r="BA6" s="146"/>
      <c r="BB6" s="146"/>
    </row>
    <row r="7" spans="1:96" s="115" customFormat="1">
      <c r="B7" s="186"/>
      <c r="C7" s="186"/>
      <c r="D7" s="719" t="s">
        <v>115</v>
      </c>
      <c r="E7" s="696" t="s">
        <v>116</v>
      </c>
      <c r="F7" s="696" t="s">
        <v>117</v>
      </c>
      <c r="G7" s="712" t="s">
        <v>118</v>
      </c>
      <c r="H7" s="719" t="s">
        <v>180</v>
      </c>
      <c r="I7" s="696" t="s">
        <v>181</v>
      </c>
      <c r="J7" s="696" t="s">
        <v>182</v>
      </c>
      <c r="K7" s="712" t="s">
        <v>183</v>
      </c>
      <c r="L7" s="696" t="s">
        <v>136</v>
      </c>
      <c r="M7" s="696" t="s">
        <v>184</v>
      </c>
      <c r="N7" s="696" t="s">
        <v>185</v>
      </c>
      <c r="O7" s="696" t="s">
        <v>186</v>
      </c>
      <c r="P7" s="696" t="s">
        <v>187</v>
      </c>
      <c r="Q7" s="457"/>
      <c r="R7" s="696" t="s">
        <v>188</v>
      </c>
      <c r="S7" s="457"/>
      <c r="T7" s="696" t="s">
        <v>189</v>
      </c>
      <c r="U7" s="696" t="s">
        <v>124</v>
      </c>
      <c r="V7" s="712" t="s">
        <v>190</v>
      </c>
      <c r="W7" s="719" t="s">
        <v>191</v>
      </c>
      <c r="X7" s="696"/>
      <c r="Y7" s="712"/>
      <c r="Z7" s="719" t="s">
        <v>192</v>
      </c>
      <c r="AA7" s="696"/>
      <c r="AB7" s="712"/>
      <c r="AC7" s="698" t="s">
        <v>193</v>
      </c>
      <c r="AD7" s="698" t="s">
        <v>194</v>
      </c>
      <c r="AE7" s="698" t="s">
        <v>81</v>
      </c>
      <c r="AF7" s="698" t="s">
        <v>195</v>
      </c>
      <c r="AG7" s="698" t="s">
        <v>196</v>
      </c>
      <c r="AH7" s="698" t="s">
        <v>197</v>
      </c>
      <c r="AI7" s="698" t="s">
        <v>198</v>
      </c>
      <c r="AJ7" s="698" t="s">
        <v>199</v>
      </c>
      <c r="AK7" s="698" t="s">
        <v>200</v>
      </c>
      <c r="AL7" s="698" t="s">
        <v>201</v>
      </c>
      <c r="AM7" s="696"/>
      <c r="AN7" s="696" t="s">
        <v>87</v>
      </c>
      <c r="AO7" s="696" t="s">
        <v>88</v>
      </c>
      <c r="AP7" s="696" t="s">
        <v>89</v>
      </c>
      <c r="AQ7" s="458"/>
      <c r="AR7" s="698" t="s">
        <v>90</v>
      </c>
      <c r="AS7" s="696" t="s">
        <v>91</v>
      </c>
      <c r="AT7" s="698" t="s">
        <v>132</v>
      </c>
      <c r="AU7" s="698" t="s">
        <v>133</v>
      </c>
      <c r="AV7" s="698" t="s">
        <v>134</v>
      </c>
      <c r="AW7" s="458"/>
      <c r="AX7" s="458"/>
      <c r="AY7" s="146"/>
      <c r="AZ7" s="146"/>
      <c r="BA7" s="146"/>
      <c r="BB7" s="146"/>
    </row>
    <row r="8" spans="1:96" s="115" customFormat="1" ht="44.25" customHeight="1">
      <c r="B8" s="696" t="s">
        <v>135</v>
      </c>
      <c r="C8" s="696" t="s">
        <v>65</v>
      </c>
      <c r="D8" s="719"/>
      <c r="E8" s="696"/>
      <c r="F8" s="696"/>
      <c r="G8" s="712"/>
      <c r="H8" s="719"/>
      <c r="I8" s="696"/>
      <c r="J8" s="696"/>
      <c r="K8" s="712"/>
      <c r="L8" s="696"/>
      <c r="M8" s="696"/>
      <c r="N8" s="696"/>
      <c r="O8" s="696"/>
      <c r="P8" s="696"/>
      <c r="Q8" s="457" t="s">
        <v>202</v>
      </c>
      <c r="R8" s="696"/>
      <c r="S8" s="696" t="s">
        <v>203</v>
      </c>
      <c r="T8" s="696"/>
      <c r="U8" s="696"/>
      <c r="V8" s="712"/>
      <c r="W8" s="719"/>
      <c r="X8" s="696"/>
      <c r="Y8" s="712"/>
      <c r="Z8" s="719"/>
      <c r="AA8" s="696"/>
      <c r="AB8" s="712"/>
      <c r="AC8" s="698" t="s">
        <v>193</v>
      </c>
      <c r="AD8" s="698"/>
      <c r="AE8" s="698"/>
      <c r="AF8" s="698"/>
      <c r="AG8" s="698"/>
      <c r="AH8" s="698"/>
      <c r="AI8" s="698"/>
      <c r="AJ8" s="698"/>
      <c r="AK8" s="698"/>
      <c r="AL8" s="698"/>
      <c r="AM8" s="696"/>
      <c r="AN8" s="696"/>
      <c r="AO8" s="696"/>
      <c r="AP8" s="696"/>
      <c r="AQ8" s="458" t="s">
        <v>204</v>
      </c>
      <c r="AR8" s="698"/>
      <c r="AS8" s="696"/>
      <c r="AT8" s="698"/>
      <c r="AU8" s="698"/>
      <c r="AV8" s="698"/>
      <c r="AW8" s="758" t="s">
        <v>205</v>
      </c>
      <c r="AX8" s="758" t="s">
        <v>206</v>
      </c>
      <c r="AY8" s="737" t="s">
        <v>207</v>
      </c>
      <c r="AZ8" s="737" t="s">
        <v>208</v>
      </c>
      <c r="BA8" s="737" t="s">
        <v>209</v>
      </c>
      <c r="BB8" s="737" t="s">
        <v>210</v>
      </c>
    </row>
    <row r="9" spans="1:96" s="115" customFormat="1" ht="25.15" customHeight="1">
      <c r="B9" s="696"/>
      <c r="C9" s="696"/>
      <c r="D9" s="723"/>
      <c r="E9" s="724"/>
      <c r="F9" s="724"/>
      <c r="G9" s="742"/>
      <c r="H9" s="723"/>
      <c r="I9" s="724"/>
      <c r="J9" s="724"/>
      <c r="K9" s="742"/>
      <c r="L9" s="724"/>
      <c r="M9" s="724"/>
      <c r="N9" s="724"/>
      <c r="O9" s="724"/>
      <c r="P9" s="724"/>
      <c r="Q9" s="477"/>
      <c r="R9" s="724"/>
      <c r="S9" s="696"/>
      <c r="T9" s="696"/>
      <c r="U9" s="696"/>
      <c r="V9" s="712"/>
      <c r="W9" s="723" t="s">
        <v>92</v>
      </c>
      <c r="X9" s="742"/>
      <c r="Y9" s="461" t="s">
        <v>93</v>
      </c>
      <c r="Z9" s="723" t="s">
        <v>92</v>
      </c>
      <c r="AA9" s="742"/>
      <c r="AB9" s="462" t="s">
        <v>93</v>
      </c>
      <c r="AC9" s="698"/>
      <c r="AD9" s="698"/>
      <c r="AE9" s="698"/>
      <c r="AF9" s="698"/>
      <c r="AG9" s="698"/>
      <c r="AH9" s="698"/>
      <c r="AI9" s="698"/>
      <c r="AJ9" s="698"/>
      <c r="AK9" s="698"/>
      <c r="AL9" s="698"/>
      <c r="AM9" s="696"/>
      <c r="AN9" s="696"/>
      <c r="AO9" s="696"/>
      <c r="AP9" s="696"/>
      <c r="AQ9" s="458"/>
      <c r="AR9" s="698"/>
      <c r="AS9" s="696"/>
      <c r="AT9" s="698"/>
      <c r="AU9" s="698"/>
      <c r="AV9" s="698"/>
      <c r="AW9" s="758"/>
      <c r="AX9" s="758"/>
      <c r="AY9" s="737"/>
      <c r="AZ9" s="737"/>
      <c r="BA9" s="737"/>
      <c r="BB9" s="737"/>
    </row>
    <row r="10" spans="1:96" s="482" customFormat="1" ht="19.5" hidden="1" customHeight="1">
      <c r="B10" s="481" t="s">
        <v>211</v>
      </c>
      <c r="C10" s="481"/>
      <c r="D10" s="483" t="s">
        <v>212</v>
      </c>
      <c r="E10" s="483" t="s">
        <v>213</v>
      </c>
      <c r="F10" s="483"/>
      <c r="G10" s="483"/>
      <c r="H10" s="483" t="s">
        <v>214</v>
      </c>
      <c r="I10" s="483" t="s">
        <v>215</v>
      </c>
      <c r="J10" s="483" t="s">
        <v>216</v>
      </c>
      <c r="K10" s="483" t="s">
        <v>217</v>
      </c>
      <c r="L10" s="483" t="s">
        <v>42</v>
      </c>
      <c r="M10" s="483" t="s">
        <v>218</v>
      </c>
      <c r="N10" s="483" t="s">
        <v>219</v>
      </c>
      <c r="O10" s="483" t="s">
        <v>137</v>
      </c>
      <c r="P10" s="483" t="s">
        <v>220</v>
      </c>
      <c r="Q10" s="483" t="s">
        <v>221</v>
      </c>
      <c r="R10" s="483" t="s">
        <v>222</v>
      </c>
      <c r="S10" s="483" t="s">
        <v>223</v>
      </c>
      <c r="T10" s="481"/>
      <c r="U10" s="481" t="s">
        <v>224</v>
      </c>
      <c r="V10" s="481"/>
      <c r="W10" s="483"/>
      <c r="X10" s="483"/>
      <c r="Y10" s="481"/>
      <c r="Z10" s="483"/>
      <c r="AA10" s="483"/>
      <c r="AB10" s="483" t="s">
        <v>225</v>
      </c>
      <c r="AC10" s="481"/>
      <c r="AD10" s="481"/>
      <c r="AE10" s="481"/>
      <c r="AF10" s="481"/>
      <c r="AG10" s="481"/>
      <c r="AH10" s="481"/>
      <c r="AI10" s="481"/>
      <c r="AJ10" s="481"/>
      <c r="AK10" s="481"/>
      <c r="AL10" s="481"/>
      <c r="AM10" s="481" t="s">
        <v>226</v>
      </c>
      <c r="AN10" s="481" t="s">
        <v>227</v>
      </c>
      <c r="AO10" s="481" t="s">
        <v>228</v>
      </c>
      <c r="AP10" s="481" t="s">
        <v>229</v>
      </c>
      <c r="AQ10" s="481" t="s">
        <v>230</v>
      </c>
      <c r="AR10" s="481"/>
      <c r="AS10" s="481" t="s">
        <v>231</v>
      </c>
      <c r="AT10" s="481"/>
      <c r="AU10" s="481"/>
      <c r="AV10" s="481" t="s">
        <v>232</v>
      </c>
      <c r="AW10" s="596" t="s">
        <v>205</v>
      </c>
      <c r="AX10" s="481" t="s">
        <v>233</v>
      </c>
      <c r="AY10" s="481" t="s">
        <v>234</v>
      </c>
      <c r="AZ10" s="481" t="s">
        <v>235</v>
      </c>
      <c r="BA10" s="481" t="s">
        <v>236</v>
      </c>
      <c r="BB10" s="481" t="s">
        <v>210</v>
      </c>
    </row>
    <row r="11" spans="1:96" s="11" customFormat="1" ht="19.5" customHeight="1">
      <c r="B11" s="17">
        <v>1</v>
      </c>
      <c r="C11" s="452" t="s">
        <v>237</v>
      </c>
      <c r="D11" s="31"/>
      <c r="E11" s="31"/>
      <c r="F11" s="31"/>
      <c r="G11" s="149" t="str">
        <f>IFERROR(VLOOKUP(F11, 'Lookup Tables'!$B$5:$C$2226, 2, FALSE), "")</f>
        <v/>
      </c>
      <c r="H11" s="13"/>
      <c r="I11" s="111"/>
      <c r="J11" s="111"/>
      <c r="K11" s="111"/>
      <c r="L11" s="13"/>
      <c r="M11" s="110"/>
      <c r="N11" s="110"/>
      <c r="O11" s="32"/>
      <c r="P11" s="32"/>
      <c r="Q11" s="32"/>
      <c r="R11" s="31"/>
      <c r="S11" s="31"/>
      <c r="T11" s="110"/>
      <c r="U11" s="368"/>
      <c r="V11" s="480" t="str">
        <f>IF(U11="", "", U11/12000)</f>
        <v/>
      </c>
      <c r="W11" s="636" t="str" cm="1">
        <f t="array" ref="W11">IF(OR(U11="",D11=""),"",ROUND(_xlfn.IFS(AND(U11&lt;65000,T11="single"),AJ11,AND(U11&lt;65000,T11="three"),ROUND(1.2479*AJ11-2.8674,0),AND(U11&gt;=65000,T11="three"),AK11),2))</f>
        <v/>
      </c>
      <c r="X11" s="224" t="str" cm="1">
        <f t="array" ref="X11">IF(OR(D11="",U11=""),"",_xlfn.IFS(AND(T11="Single",U11&lt;65000),"SEER2",AND(T11="Three",U11&lt;65000),"SEER",AND(T11="Three",U11&gt;=65000),"EER"))</f>
        <v/>
      </c>
      <c r="Y11" s="20"/>
      <c r="Z11" s="636" t="str">
        <f>IF(OR(D11="",U11=""),"", IF(AL11="-", "", ROUND(AL11, 2)))</f>
        <v/>
      </c>
      <c r="AA11" s="225" t="str">
        <f t="shared" ref="AA11:AA18" si="0">IF(OR(D11="", U11=""), "", IF(Z11="", "", "IEER"))</f>
        <v/>
      </c>
      <c r="AB11" s="20"/>
      <c r="AC11" s="41" t="str">
        <f>IF(L11&lt;1,"",IF(X11="SEER2",(1.2476*Y11)-2.8674,Y11))</f>
        <v/>
      </c>
      <c r="AD11" s="34" t="str">
        <f>IFERROR(VLOOKUP(E11, 'Lookup Tables'!$G$6:$P$27, MATCH(G11, 'Lookup Tables'!$H$5:$P$5,1)+1, FALSE), "")</f>
        <v/>
      </c>
      <c r="AE11" s="35" t="str">
        <f>IFERROR(VLOOKUP(E11, 'Lookup Tables'!$AC$6:$AL$27, MATCH(G11,'Lookup Tables'!$AD$5:$AL$5,1)+1, FALSE), "")</f>
        <v/>
      </c>
      <c r="AF11" s="392" t="str">
        <f t="shared" ref="AF11:AF18" si="1">IF(OR(D11="", L11="", N11=""), "", IF(OR(OR(N11="", N11="Electric Resistance"),U11&lt;65000), 0, 0.2))</f>
        <v/>
      </c>
      <c r="AG11" s="41" t="str" cm="1">
        <f t="array" ref="AG11">IFERROR(IF(OR(M11="",D11=""),"",IF(AND(T11="single",U11&lt;65000,D11="New Construction",M11="Air Cooled - Single Package"),$E$27,IF(AND(T11="single",U11&lt;65000,D11="New Construction",M11="Air Cooled - Split System"),$E$28,IF(AND(D11="New Construction",H11&gt;15,T11="three"),INDEX($C$29:$J$64,MATCH(1,(M11=$C$29:$C$64)*(AR11=$D$29:$D$64),0),3),IF(AND(H11&lt;15,I11&lt;&gt;"",U11&lt;65000),I11,INDEX($C$29:$J$64,MATCH(1,(M11=$C$29:$C$64)*(AR11=$D$29:$D$64),0),3))))-AF11)),"")</f>
        <v/>
      </c>
      <c r="AH11" s="41" t="str" cm="1">
        <f t="array" ref="AH11">IFERROR(IF(OR(M11="",D11=""),"",IF(AND(T11="single",U11&lt;65000,D11="New Construction",M11="Air Cooled - Single Package"),$F$27,IF(AND(T11="single",U11&lt;65000,D11="New Construction",M11="Air Cooled - Split System"),$F$28,IF(AND(D11="New Construction",H11&gt;15,T11="Three"),INDEX($C$29:$J$64,MATCH(1,(M11=$C$29:$C$64)*(AR11=$D$29:$D$64),0),4),IF(AND(H11&lt;15,I11&lt;&gt;"",U11&lt;65000),I11,INDEX($C$29:$J$64,MATCH(1,(M11=$C$29:$C$64)*(AR11=$D$29:$D$64),0),4))))-AF11)),"")</f>
        <v/>
      </c>
      <c r="AI11" s="41" t="str" cm="1">
        <f t="array" ref="AI11">IFERROR(IF(OR(M11="", D11=""), "", IF(OR(D11="New Construction", H11&gt;15), INDEX($C$29:$J$64, MATCH(1, (M11=$C$29:$C$64)*(AR11=$D$29:$D$64), 0), 5), IF(AND(H11&lt;15, I11&lt;&gt;"", U11&lt;65000), I11, INDEX($C$29:$J$64, MATCH(1, (M11=$C$29:$C$64)*(AR11=$D$29:$D$64), 0), 5))))-AF11, "")</f>
        <v/>
      </c>
      <c r="AJ11" s="478" t="str">
        <f>IFERROR(IF(OR(M11="", D11=""), "",IF(OR(N11="Electric Resistance", N11="None"),
IF(M11=$C$29, VLOOKUP(AR11, $D$29:$J$34, 5, FALSE),
   IF(M11=$C$35,VLOOKUP(AR11,$D$35:$J$40,5,FALSE),
    IF(M11=$C$41, VLOOKUP(AR11, $D$41:$J$46, 5, FALSE),
     IF(M11=$C$47,VLOOKUP(AR11,$D$47:$J$52,5,FALSE),
      IF(M11=$C$53,VLOOKUP(AR11,$D$53:$J$58,5,FALSE),
       VLOOKUP(AR11, $D$59:$J$64, 5, FALSE)))))),
IF(M11=$C$29, VLOOKUP(AR11, $D$65:$J$70, 5, FALSE),
   IF(M11=$C$35,VLOOKUP(AR11,$D$71:$J$76,5,FALSE),
    IF(M11=$C$41, VLOOKUP(AR11, $D$77:$J$82, 5, FALSE),
     IF(M11=$C$47,VLOOKUP(AR11,$D$83:$J$88,5,FALSE),
      IF(M11=$C$53,VLOOKUP(AR11,$D$89:$J$94,5,FALSE),
       VLOOKUP(AR11, $D$95:$J$100, 5, FALSE)))))))),"")</f>
        <v/>
      </c>
      <c r="AK11" s="478" t="str">
        <f>IFERROR(IF(OR(M11="", D11=""), "",IF(OR(N11="Electric Resistance", N11="None"),
IF(M11=$C$29, VLOOKUP(AR11, $D$29:$J$34, 6, FALSE),
   IF(M11=$C$35,VLOOKUP(AR11,$D$35:$J$40,6,FALSE),
    IF(M11=$C$41, VLOOKUP(AR11, $D$41:$J$46, 6, FALSE),
     IF(M11=$C$47,VLOOKUP(AR11,$D$47:$J$52,6,FALSE),
      IF(M11=$C$53,VLOOKUP(AR11,$D$53:$J$58,6,FALSE),
       VLOOKUP(AR11, $D$59:$J$64, 6, FALSE)))))),
IF(M11=$C$29, VLOOKUP(AR11, $D$65:$J$70, 6, FALSE),
   IF(M11=$C$35,VLOOKUP(AR11,$D$71:$J$76,6,FALSE),
    IF(M11=$C$41, VLOOKUP(AR11, $D$77:$J$82, 6, FALSE),
     IF(M11=$C$47,VLOOKUP(AR11,$D$83:$J$88,6,FALSE),
      IF(M11=$C$53,VLOOKUP(AR11,$D$89:$J$94,6,FALSE),
       VLOOKUP(AR11, $D$95:$J$100, 6, FALSE)))))))),"")</f>
        <v/>
      </c>
      <c r="AL11" s="478" t="str">
        <f t="shared" ref="AL11:AL18" si="2">IFERROR(IF(OR(M11="", D11=""), "",IF(OR(N11="Electric Resistance", N11="None"),
IF(M11=$C$29, VLOOKUP(AR11, $D$29:$J$34, 7, FALSE),
   IF(M11=$C$35,VLOOKUP(AR11,$D$35:$J$40,7,FALSE),
    IF(M11=$C$41, VLOOKUP(AR11, $D$41:$J$46, 7, FALSE),
     IF(M11=$C$47,VLOOKUP(AR11,$D$47:$J$52,7,FALSE),
      IF(M11=$C$53,VLOOKUP(AR11,$D$53:$J$58,7,FALSE),
       VLOOKUP(AR11, $D$59:$J$64, 7, FALSE)))))),
IF(M11=$C$29, VLOOKUP(AR11, $D$65:$J$70, 7, FALSE),
   IF(M11=$C$35,VLOOKUP(AR11,$D$71:$J$76,7,FALSE),
    IF(M11=$C$41, VLOOKUP(AR11, $D$77:$J$82, 7, FALSE),
     IF(M11=$C$47,VLOOKUP(AR11,$D$83:$J$88,7,FALSE),
      IF(M11=$C$53,VLOOKUP(AR11,$D$89:$J$94,7,FALSE),
       VLOOKUP(AR11, $D$95:$J$100, 7, FALSE)))))))),"")</f>
        <v/>
      </c>
      <c r="AM11" s="497" t="str">
        <f>IFERROR(ROUND(IF(U11&lt;65000, (U11/1000)*(((1/(AG11*(11.3/13))))-(1/(AC11*(11.3/13))))*L11, (U11/1000)*((1/AH11)-(1/AC11))*L11),6),"")</f>
        <v/>
      </c>
      <c r="AN11" s="497" t="str">
        <f>IFERROR(ROUND(IF(U11&lt;65000, (U11/1000)*(((1/(AG11*(11.3/13))))-(1/(AC11*(11.3/13))))*AE11*L11, (U11/1000)*((1/AH11)-(1/AC11))*AE11*L11),6), "")</f>
        <v/>
      </c>
      <c r="AO11" s="496" t="str">
        <f>IFERROR(ROUND(L11*(IF(U11&lt;65000, (U11/1000)*((1/AG11)-(1/AC11))*AD11, IF(AND(AC11&lt;&gt;"", AB11&lt;&gt;""), (U11/1000)*((1/AI11)-(1/AB11))*AD11, (U11/1000)*((1/AH11)-(1/AC11))*AD11))),4), "")</f>
        <v/>
      </c>
      <c r="AP11" s="16" t="str" cm="1">
        <f t="array" ref="AP11">IF(OR(S11="",M11="",D11="",AS11="No"),"",IF(S11&lt;=L11*V11*_xlfn.XLOOKUP(M11&amp;AR11,$C$26:$C$101&amp;$D$26:$D$101,$K$26:$K$101),S11,ROUND(L11*V11*_xlfn.XLOOKUP(M11&amp;AR11,$C$26:$C$101&amp;$D$26:$D$101,$K$26:$K$101),2)))</f>
        <v/>
      </c>
      <c r="AQ11" s="16" t="str">
        <f t="shared" ref="AQ11:AQ18" si="3">IFERROR(ROUND(IF(OR(M11="", D11="", AS11="No"), "", L11*V11*(IF(M11=$C$29, VLOOKUP(AR11, $D$29:$L$34, 8, FALSE), IF(M11=$C$41, VLOOKUP(AR11, $D$41:$L$46, 8, FALSE), VLOOKUP(AR11, $D$53:$L$64, 8, FALSE))))),2), "")</f>
        <v/>
      </c>
      <c r="AR11" s="14" t="str">
        <f t="shared" ref="AR11:AR18" si="4">IF(OR(D11="", U11="", M11=""), "", IF(U11&gt;=760000, $D$34, IF(AND(U11&gt;=65000, U11&lt;135000), $D$31, IF(AND(U11&gt;=135000, U11&lt;240000), $D$32, IF(AND(U11&gt;=240000, U11&lt;760000), $D$33, IF(Y11&gt;=18,$D$30, $D$29))))))</f>
        <v/>
      </c>
      <c r="AS11" s="40" t="str">
        <f t="shared" ref="AS11:AS18" si="5">IF(OR(D11="", E11="", F11="", U11=""), "", IF(U11&lt;65000, IF(Y11&gt;=AJ11, "Yes", "No"),IF(AND(Y11&gt;=AK11, AB11&gt;=AL11), "Yes", "No")))</f>
        <v/>
      </c>
      <c r="AT11" s="129" t="str">
        <f t="array" ref="AT11">IFERROR(INDEX($C$29:$O$64, MATCH(1, (M11=$C$29:$C$64)*(AR11=$D$29:$D$64), 0), 12), "")</f>
        <v/>
      </c>
      <c r="AU11" s="129" t="str">
        <f t="array" ref="AU11">IFERROR(INDEX($C$29:$O$64, MATCH(1, (M11=$C$29:$C$64)*(AR11=$D$29:$D$64), 0), 13), "")</f>
        <v/>
      </c>
      <c r="AV11" s="40" t="str">
        <f t="array" ref="AV11">IFERROR(INDEX($C$29:$O$64, MATCH(1, (M11=$C$29:$C$64)*(AR11=$D$29:$D$64), 0), 11), "")</f>
        <v/>
      </c>
      <c r="AW11" s="597" t="str">
        <f t="shared" ref="AW11:AW18" si="6">IF(X11="SEER2",Y11,"")</f>
        <v/>
      </c>
      <c r="AX11" s="597" t="str">
        <f t="shared" ref="AX11:AX18" si="7">IF(X11="EER",Y11,"")</f>
        <v/>
      </c>
      <c r="AY11" s="576" t="str">
        <f t="shared" ref="AY11:AY18" si="8">IF(ISBLANK(L11),"",IF(U11&lt;65000,(AG11+2.8674)/1.2476,""))</f>
        <v/>
      </c>
      <c r="AZ11" s="576" t="str">
        <f t="shared" ref="AZ11:AZ18" si="9">IF(ISBLANK(L11),"",IF(U11&lt;65000,(AH11+0.1769)/1.0578,""))</f>
        <v/>
      </c>
      <c r="BA11" s="23" t="str">
        <f t="shared" ref="BA11:BA18" si="10">IF(ISBLANK(M11),"",IF(ISNUMBER(SEARCH("Split",M11,1)),"Split","Package"))</f>
        <v/>
      </c>
      <c r="BB11" s="23" t="str">
        <f>IF(ISBLANK(U11),"",IF(AND(U11&lt;65000,T11="Single"),"Consumer","Commercial"))</f>
        <v/>
      </c>
      <c r="BC11" s="115"/>
      <c r="BD11" s="115"/>
    </row>
    <row r="12" spans="1:96" customFormat="1" ht="19.5" customHeight="1">
      <c r="A12" s="11"/>
      <c r="B12" s="17">
        <v>2</v>
      </c>
      <c r="C12" s="452" t="s">
        <v>237</v>
      </c>
      <c r="D12" s="31"/>
      <c r="E12" s="31"/>
      <c r="F12" s="31"/>
      <c r="G12" s="149" t="str">
        <f>IFERROR(VLOOKUP(F12, 'Lookup Tables'!$B$5:$C$2226, 2, FALSE), "")</f>
        <v/>
      </c>
      <c r="H12" s="13"/>
      <c r="I12" s="111"/>
      <c r="J12" s="111"/>
      <c r="K12" s="111"/>
      <c r="L12" s="13"/>
      <c r="M12" s="110"/>
      <c r="N12" s="110"/>
      <c r="O12" s="32"/>
      <c r="P12" s="32"/>
      <c r="Q12" s="32"/>
      <c r="R12" s="31"/>
      <c r="S12" s="31"/>
      <c r="T12" s="110"/>
      <c r="U12" s="368"/>
      <c r="V12" s="480" t="str">
        <f t="shared" ref="V12:V18" si="11">IF(U12="", "", U12/12000)</f>
        <v/>
      </c>
      <c r="W12" s="636" t="str" cm="1">
        <f t="array" ref="W12">IF(OR(U12="",D12=""),"",ROUND(_xlfn.IFS(AND(U12&lt;65000,T12="single"),AJ12,AND(U12&lt;65000,T12="three"),ROUND(1.2479*AJ12-2.8674,0),AND(U12&gt;=65000,T12="three"),AK12),2))</f>
        <v/>
      </c>
      <c r="X12" s="224" t="str" cm="1">
        <f t="array" ref="X12">IF(OR(D12="",U12=""),"",_xlfn.IFS(AND(T12="Single",U12&lt;65000),"SEER2",AND(T12="Three",U12&lt;65000),"SEER",AND(T12="Three",U12&gt;=65000),"EER"))</f>
        <v/>
      </c>
      <c r="Y12" s="20"/>
      <c r="Z12" s="636" t="str">
        <f t="shared" ref="Z12:Z18" si="12">IF(OR(D12="",U12=""),"", IF(AL12="-", "", ROUND(AL12, 2)))</f>
        <v/>
      </c>
      <c r="AA12" s="225" t="str">
        <f t="shared" si="0"/>
        <v/>
      </c>
      <c r="AB12" s="20"/>
      <c r="AC12" s="41" t="str">
        <f t="shared" ref="AC12:AC18" si="13">IF(L12&lt;1,"",IF(X12="SEER2",(1.2476*Y12)-2.8674,Y12))</f>
        <v/>
      </c>
      <c r="AD12" s="34" t="str">
        <f>IFERROR(VLOOKUP(E12, 'Lookup Tables'!$G$6:$P$27, MATCH(G12, 'Lookup Tables'!$H$5:$P$5,1)+1, FALSE), "")</f>
        <v/>
      </c>
      <c r="AE12" s="35" t="str">
        <f>IFERROR(VLOOKUP(E12, 'Lookup Tables'!$AC$6:$AL$27, MATCH(G12,'Lookup Tables'!$AD$5:$AL$5,1)+1, FALSE), "")</f>
        <v/>
      </c>
      <c r="AF12" s="392" t="str">
        <f t="shared" si="1"/>
        <v/>
      </c>
      <c r="AG12" s="41" t="str" cm="1">
        <f t="array" ref="AG12">IFERROR(IF(OR(M12="",D12=""),"",IF(AND(T12="single",U12&lt;65000,D12="New Construction",M12="Air Cooled - Single Package"),$E$27,IF(AND(T12="single",U12&lt;65000,D12="New Construction",M12="Air Cooled - Split System"),$E$28,IF(AND(D12="New Construction",H12&gt;15,T12="three"),INDEX($C$29:$J$64,MATCH(1,(M12=$C$29:$C$64)*(AR12=$D$29:$D$64),0),3),IF(AND(H12&lt;15,I12&lt;&gt;"",U12&lt;65000),I12,INDEX($C$29:$J$64,MATCH(1,(M12=$C$29:$C$64)*(AR12=$D$29:$D$64),0),3))))-AF12)),"")</f>
        <v/>
      </c>
      <c r="AH12" s="41" t="str" cm="1">
        <f t="array" ref="AH12">IFERROR(IF(OR(M12="",D12=""),"",IF(AND(T12="single",U12&lt;65000,D12="New Construction",M12="Air Cooled - Single Package"),$F$27,IF(AND(T12="single",U12&lt;65000,D12="New Construction",M12="Air Cooled - Split System"),$F$28,IF(AND(D12="New Construction",H12&gt;15,T12="Three"),INDEX($C$29:$J$64,MATCH(1,(M12=$C$29:$C$64)*(AR12=$D$29:$D$64),0),4),IF(AND(H12&lt;15,I12&lt;&gt;"",U12&lt;65000),I12,INDEX($C$29:$J$64,MATCH(1,(M12=$C$29:$C$64)*(AR12=$D$29:$D$64),0),4))))-AF12)),"")</f>
        <v/>
      </c>
      <c r="AI12" s="41" t="str" cm="1">
        <f t="array" ref="AI12">IFERROR(IF(OR(M12="", D12=""), "", IF(OR(D12="New Construction", H12&gt;15), INDEX($C$29:$J$64, MATCH(1, (M12=$C$29:$C$64)*(AR12=$D$29:$D$64), 0), 5), IF(AND(H12&lt;15, I12&lt;&gt;"", U12&lt;65000), I12, INDEX($C$29:$J$64, MATCH(1, (M12=$C$29:$C$64)*(AR12=$D$29:$D$64), 0), 5))))-AF12, "")</f>
        <v/>
      </c>
      <c r="AJ12" s="478" t="str">
        <f t="shared" ref="AJ12:AJ18" si="14">IFERROR(IF(OR(M12="", D12=""), "",IF(OR(N12="Electric Resistance", N12="None"),
IF(M12=$C$29, VLOOKUP(AR12, $D$29:$J$34, 5, FALSE),
   IF(M12=$C$35,VLOOKUP(AR12,$D$35:$J$40,5,FALSE),
    IF(M12=$C$41, VLOOKUP(AR12, $D$41:$J$46, 5, FALSE),
     IF(M12=$C$47,VLOOKUP(AR12,$D$47:$J$52,5,FALSE),
      IF(M12=$C$53,VLOOKUP(AR12,$D$53:$J$58,5,FALSE),
       VLOOKUP(AR12, $D$59:$J$64, 5, FALSE)))))),
IF(M12=$C$29, VLOOKUP(AR12, $D$65:$J$70, 5, FALSE),
   IF(M12=$C$35,VLOOKUP(AR12,$D$71:$J$76,5,FALSE),
    IF(M12=$C$41, VLOOKUP(AR12, $D$77:$J$82, 5, FALSE),
     IF(M12=$C$47,VLOOKUP(AR12,$D$83:$J$88,5,FALSE),
      IF(M12=$C$53,VLOOKUP(AR12,$D$89:$J$94,5,FALSE),
       VLOOKUP(AR12, $D$95:$J$100, 5, FALSE)))))))),"")</f>
        <v/>
      </c>
      <c r="AK12" s="478" t="str">
        <f t="shared" ref="AK12:AK18" si="15">IFERROR(IF(OR(M12="", D12=""), "",IF(OR(N12="Electric Resistance", N12="None"),
IF(M12=$C$29, VLOOKUP(AR12, $D$29:$J$34, 6, FALSE),
   IF(M12=$C$35,VLOOKUP(AR12,$D$35:$J$40,6,FALSE),
    IF(M12=$C$41, VLOOKUP(AR12, $D$41:$J$46, 6, FALSE),
     IF(M12=$C$47,VLOOKUP(AR12,$D$47:$J$52,6,FALSE),
      IF(M12=$C$53,VLOOKUP(AR12,$D$53:$J$58,6,FALSE),
       VLOOKUP(AR12, $D$59:$J$64, 6, FALSE)))))),
IF(M12=$C$29, VLOOKUP(AR12, $D$65:$J$70, 6, FALSE),
   IF(M12=$C$35,VLOOKUP(AR12,$D$71:$J$76,6,FALSE),
    IF(M12=$C$41, VLOOKUP(AR12, $D$77:$J$82, 6, FALSE),
     IF(M12=$C$47,VLOOKUP(AR12,$D$83:$J$88,6,FALSE),
      IF(M12=$C$53,VLOOKUP(AR12,$D$89:$J$94,6,FALSE),
       VLOOKUP(AR12, $D$95:$J$100, 6, FALSE)))))))),"")</f>
        <v/>
      </c>
      <c r="AL12" s="478" t="str">
        <f t="shared" si="2"/>
        <v/>
      </c>
      <c r="AM12" s="497" t="str">
        <f t="shared" ref="AM12:AM18" si="16">IFERROR(ROUND(IF(U12&lt;65000, (U12/1000)*(((1/(AG12*(11.3/13))))-(1/(AC12*(11.3/13))))*L12, (U12/1000)*((1/AH12)-(1/AC12))*L12),6),"")</f>
        <v/>
      </c>
      <c r="AN12" s="497" t="str">
        <f t="shared" ref="AN12:AN18" si="17">IFERROR(ROUND(IF(U12&lt;65000, (U12/1000)*(((1/(AG12*(11.3/13))))-(1/(AC12*(11.3/13))))*AE12*L12, (U12/1000)*((1/AH12)-(1/AC12))*AE12*L12),6), "")</f>
        <v/>
      </c>
      <c r="AO12" s="496" t="str">
        <f t="shared" ref="AO12:AO18" si="18">IFERROR(ROUND(L12*(IF(U12&lt;65000, (U12/1000)*((1/AG12)-(1/AC12))*AD12, IF(AND(AC12&lt;&gt;"", AB12&lt;&gt;""), (U12/1000)*((1/AI12)-(1/AB12))*AD12, (U12/1000)*((1/AH12)-(1/AC12))*AD12))),4), "")</f>
        <v/>
      </c>
      <c r="AP12" s="16" t="str" cm="1">
        <f t="array" ref="AP12">IF(OR(S12="",M12="",D12="",AS12="No"),"",IF(S12&lt;=L12*V12*_xlfn.XLOOKUP(M12&amp;AR12,$C$26:$C$101&amp;$D$26:$D$101,$K$26:$K$101),S12,ROUND(L12*V12*_xlfn.XLOOKUP(M12&amp;AR12,$C$26:$C$101&amp;$D$26:$D$101,$K$26:$K$101),2)))</f>
        <v/>
      </c>
      <c r="AQ12" s="16" t="str">
        <f t="shared" si="3"/>
        <v/>
      </c>
      <c r="AR12" s="14" t="str">
        <f t="shared" si="4"/>
        <v/>
      </c>
      <c r="AS12" s="40" t="str">
        <f t="shared" si="5"/>
        <v/>
      </c>
      <c r="AT12" s="129" t="str">
        <f t="array" ref="AT12">IFERROR(INDEX($C$29:$O$64, MATCH(1, (M12=$C$29:$C$64)*(AR12=$D$29:$D$64), 0), 12), "")</f>
        <v/>
      </c>
      <c r="AU12" s="129" t="str">
        <f t="array" ref="AU12">IFERROR(INDEX($C$29:$O$64, MATCH(1, (M12=$C$29:$C$64)*(AR12=$D$29:$D$64), 0), 13), "")</f>
        <v/>
      </c>
      <c r="AV12" s="40" t="str">
        <f t="array" ref="AV12">IFERROR(INDEX($C$29:$O$64, MATCH(1, (M12=$C$29:$C$64)*(AR12=$D$29:$D$64), 0), 11), "")</f>
        <v/>
      </c>
      <c r="AW12" s="597" t="str">
        <f t="shared" si="6"/>
        <v/>
      </c>
      <c r="AX12" s="597" t="str">
        <f t="shared" si="7"/>
        <v/>
      </c>
      <c r="AY12" s="576" t="str">
        <f t="shared" si="8"/>
        <v/>
      </c>
      <c r="AZ12" s="576" t="str">
        <f t="shared" si="9"/>
        <v/>
      </c>
      <c r="BA12" s="23" t="str">
        <f t="shared" si="10"/>
        <v/>
      </c>
      <c r="BB12" s="23" t="str">
        <f t="shared" ref="BB12:BB18" si="19">IF(ISBLANK(U12),"",IF(AND(U12&lt;65000,T12="Single"),"Consumer","Commercial"))</f>
        <v/>
      </c>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row>
    <row r="13" spans="1:96" customFormat="1" ht="19.5" customHeight="1">
      <c r="A13" s="11"/>
      <c r="B13" s="17">
        <v>3</v>
      </c>
      <c r="C13" s="452" t="s">
        <v>237</v>
      </c>
      <c r="D13" s="31"/>
      <c r="E13" s="31"/>
      <c r="F13" s="31"/>
      <c r="G13" s="149" t="str">
        <f>IFERROR(VLOOKUP(F13, 'Lookup Tables'!$B$5:$C$2226, 2, FALSE), "")</f>
        <v/>
      </c>
      <c r="H13" s="13"/>
      <c r="I13" s="111"/>
      <c r="J13" s="111"/>
      <c r="K13" s="111"/>
      <c r="L13" s="13"/>
      <c r="M13" s="110"/>
      <c r="N13" s="110"/>
      <c r="O13" s="32"/>
      <c r="P13" s="32"/>
      <c r="Q13" s="32"/>
      <c r="R13" s="31"/>
      <c r="S13" s="31"/>
      <c r="T13" s="110"/>
      <c r="U13" s="368"/>
      <c r="V13" s="480" t="str">
        <f t="shared" si="11"/>
        <v/>
      </c>
      <c r="W13" s="636" t="str" cm="1">
        <f t="array" ref="W13">IF(OR(U13="",D13=""),"",ROUND(_xlfn.IFS(AND(U13&lt;65000,T13="single"),AJ13,AND(U13&lt;65000,T13="three"),ROUND(1.2479*AJ13-2.8674,0),AND(U13&gt;=65000,T13="three"),AK13),2))</f>
        <v/>
      </c>
      <c r="X13" s="224" t="str" cm="1">
        <f t="array" ref="X13">IF(OR(D13="",U13=""),"",_xlfn.IFS(AND(T13="Single",U13&lt;65000),"SEER2",AND(T13="Three",U13&lt;65000),"SEER",AND(T13="Three",U13&gt;=65000),"EER"))</f>
        <v/>
      </c>
      <c r="Y13" s="20"/>
      <c r="Z13" s="636" t="str">
        <f t="shared" si="12"/>
        <v/>
      </c>
      <c r="AA13" s="225" t="str">
        <f t="shared" si="0"/>
        <v/>
      </c>
      <c r="AB13" s="20"/>
      <c r="AC13" s="41" t="str">
        <f t="shared" si="13"/>
        <v/>
      </c>
      <c r="AD13" s="34" t="str">
        <f>IFERROR(VLOOKUP(E13, 'Lookup Tables'!$G$6:$P$27, MATCH(G13, 'Lookup Tables'!$H$5:$P$5,1)+1, FALSE), "")</f>
        <v/>
      </c>
      <c r="AE13" s="35" t="str">
        <f>IFERROR(VLOOKUP(E13, 'Lookup Tables'!$AC$6:$AL$27, MATCH(G13,'Lookup Tables'!$AD$5:$AL$5,1)+1, FALSE), "")</f>
        <v/>
      </c>
      <c r="AF13" s="392" t="str">
        <f t="shared" si="1"/>
        <v/>
      </c>
      <c r="AG13" s="41" t="str" cm="1">
        <f t="array" ref="AG13">IFERROR(IF(OR(M13="",D13=""),"",IF(AND(T13="single",U13&lt;65000,D13="New Construction",M13="Air Cooled - Single Package"),$E$27,IF(AND(T13="single",U13&lt;65000,D13="New Construction",M13="Air Cooled - Split System"),$E$28,IF(AND(D13="New Construction",H13&gt;15,T13="three"),INDEX($C$29:$J$64,MATCH(1,(M13=$C$29:$C$64)*(AR13=$D$29:$D$64),0),3),IF(AND(H13&lt;15,I13&lt;&gt;"",U13&lt;65000),I13,INDEX($C$29:$J$64,MATCH(1,(M13=$C$29:$C$64)*(AR13=$D$29:$D$64),0),3))))-AF13)),"")</f>
        <v/>
      </c>
      <c r="AH13" s="41" t="str" cm="1">
        <f t="array" ref="AH13">IFERROR(IF(OR(M13="",D13=""),"",IF(AND(T13="single",U13&lt;65000,D13="New Construction",M13="Air Cooled - Single Package"),$F$27,IF(AND(T13="single",U13&lt;65000,D13="New Construction",M13="Air Cooled - Split System"),$F$28,IF(AND(D13="New Construction",H13&gt;15,T13="Three"),INDEX($C$29:$J$64,MATCH(1,(M13=$C$29:$C$64)*(AR13=$D$29:$D$64),0),4),IF(AND(H13&lt;15,I13&lt;&gt;"",U13&lt;65000),I13,INDEX($C$29:$J$64,MATCH(1,(M13=$C$29:$C$64)*(AR13=$D$29:$D$64),0),4))))-AF13)),"")</f>
        <v/>
      </c>
      <c r="AI13" s="41" t="str">
        <f t="array" ref="AI13">IFERROR(IF(OR(M13="", D13=""), "", IF(OR(D13="New Construction", H13&gt;15), INDEX($C$29:$J$64, MATCH(1, (M13=$C$29:$C$64)*(AR13=$D$29:$D$64), 0), 5), IF(AND(H13&lt;15, I13&lt;&gt;"", U13&lt;65000), I13, INDEX($C$29:$J$64, MATCH(1, (M13=$C$29:$C$64)*(AR13=$D$29:$D$64), 0), 5))))-AF13, "")</f>
        <v/>
      </c>
      <c r="AJ13" s="478" t="str">
        <f>IFERROR(IF(OR(M13="", D13=""), "",IF(OR(N13="Electric Resistance", N13="None"),
IF(M13=$C$29, VLOOKUP(AR13, $D$29:$J$34, 5, FALSE),
   IF(M13=$C$35,VLOOKUP(AR13,$D$35:$J$40,5,FALSE),
    IF(M13=$C$41, VLOOKUP(AR13, $D$41:$J$46, 5, FALSE),
     IF(M13=$C$47,VLOOKUP(AR13,$D$47:$J$52,5,FALSE),
      IF(M13=$C$53,VLOOKUP(AR13,$D$53:$J$58,5,FALSE),
       VLOOKUP(AR13, $D$59:$J$64, 5, FALSE)))))),
IF(M13=$C$29, VLOOKUP(AR13, $D$65:$J$70, 5, FALSE),
   IF(M13=$C$35,VLOOKUP(AR13,$D$71:$J$76,5,FALSE),
    IF(M13=$C$41, VLOOKUP(AR13, $D$77:$J$82, 5, FALSE),
     IF(M13=$C$47,VLOOKUP(AR13,$D$83:$J$88,5,FALSE),
      IF(M13=$C$53,VLOOKUP(AR13,$D$89:$J$94,5,FALSE),
       VLOOKUP(AR13, $D$95:$J$100, 5, FALSE)))))))),"")</f>
        <v/>
      </c>
      <c r="AK13" s="478" t="str">
        <f t="shared" si="15"/>
        <v/>
      </c>
      <c r="AL13" s="478" t="str">
        <f t="shared" si="2"/>
        <v/>
      </c>
      <c r="AM13" s="497" t="str">
        <f t="shared" si="16"/>
        <v/>
      </c>
      <c r="AN13" s="497" t="str">
        <f t="shared" si="17"/>
        <v/>
      </c>
      <c r="AO13" s="496" t="str">
        <f t="shared" si="18"/>
        <v/>
      </c>
      <c r="AP13" s="16" t="str" cm="1">
        <f t="array" ref="AP13">IF(OR(S13="",M13="",D13="",AS13="No"),"",IF(S13&lt;=L13*V13*_xlfn.XLOOKUP(M13&amp;AR13,$C$26:$C$101&amp;$D$26:$D$101,$K$26:$K$101),S13,ROUND(L13*V13*_xlfn.XLOOKUP(M13&amp;AR13,$C$26:$C$101&amp;$D$26:$D$101,$K$26:$K$101),2)))</f>
        <v/>
      </c>
      <c r="AQ13" s="16" t="str">
        <f t="shared" si="3"/>
        <v/>
      </c>
      <c r="AR13" s="14" t="str">
        <f t="shared" si="4"/>
        <v/>
      </c>
      <c r="AS13" s="40" t="str">
        <f t="shared" si="5"/>
        <v/>
      </c>
      <c r="AT13" s="129" t="str">
        <f t="array" ref="AT13">IFERROR(INDEX($C$29:$O$64, MATCH(1, (M13=$C$29:$C$64)*(AR13=$D$29:$D$64), 0), 12), "")</f>
        <v/>
      </c>
      <c r="AU13" s="129" t="str">
        <f t="array" ref="AU13">IFERROR(INDEX($C$29:$O$64, MATCH(1, (M13=$C$29:$C$64)*(AR13=$D$29:$D$64), 0), 13), "")</f>
        <v/>
      </c>
      <c r="AV13" s="40" t="str">
        <f t="array" ref="AV13">IFERROR(INDEX($C$29:$O$64, MATCH(1, (M13=$C$29:$C$64)*(AR13=$D$29:$D$64), 0), 11), "")</f>
        <v/>
      </c>
      <c r="AW13" s="597" t="str">
        <f t="shared" si="6"/>
        <v/>
      </c>
      <c r="AX13" s="597" t="str">
        <f t="shared" si="7"/>
        <v/>
      </c>
      <c r="AY13" s="576" t="str">
        <f t="shared" si="8"/>
        <v/>
      </c>
      <c r="AZ13" s="576" t="str">
        <f t="shared" si="9"/>
        <v/>
      </c>
      <c r="BA13" s="23" t="str">
        <f t="shared" si="10"/>
        <v/>
      </c>
      <c r="BB13" s="23" t="str">
        <f t="shared" si="19"/>
        <v/>
      </c>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row>
    <row r="14" spans="1:96" customFormat="1" ht="19.5" customHeight="1">
      <c r="A14" s="11"/>
      <c r="B14" s="17">
        <v>4</v>
      </c>
      <c r="C14" s="452" t="s">
        <v>237</v>
      </c>
      <c r="D14" s="31"/>
      <c r="E14" s="31"/>
      <c r="F14" s="31"/>
      <c r="G14" s="149" t="str">
        <f>IFERROR(VLOOKUP(F14, 'Lookup Tables'!$B$5:$C$2226, 2, FALSE), "")</f>
        <v/>
      </c>
      <c r="H14" s="13"/>
      <c r="I14" s="111"/>
      <c r="J14" s="111"/>
      <c r="K14" s="111"/>
      <c r="L14" s="13"/>
      <c r="M14" s="110"/>
      <c r="N14" s="110"/>
      <c r="O14" s="32"/>
      <c r="P14" s="32"/>
      <c r="Q14" s="32"/>
      <c r="R14" s="31"/>
      <c r="S14" s="31"/>
      <c r="T14" s="110"/>
      <c r="U14" s="368"/>
      <c r="V14" s="480" t="str">
        <f t="shared" si="11"/>
        <v/>
      </c>
      <c r="W14" s="636" t="str" cm="1">
        <f t="array" ref="W14">IF(OR(U14="",D14=""),"",ROUND(_xlfn.IFS(AND(U14&lt;65000,T14="single"),AJ14,AND(U14&lt;65000,T14="three"),ROUND(1.2479*AJ14-2.8674,0),AND(U14&gt;=65000,T14="three"),AK14),2))</f>
        <v/>
      </c>
      <c r="X14" s="224" t="str" cm="1">
        <f t="array" ref="X14">IF(OR(D14="",U14=""),"",_xlfn.IFS(AND(T14="Single",U14&lt;65000),"SEER2",AND(T14="Three",U14&lt;65000),"SEER",AND(T14="Three",U14&gt;=65000),"EER"))</f>
        <v/>
      </c>
      <c r="Y14" s="20"/>
      <c r="Z14" s="636" t="str">
        <f t="shared" si="12"/>
        <v/>
      </c>
      <c r="AA14" s="225" t="str">
        <f t="shared" si="0"/>
        <v/>
      </c>
      <c r="AB14" s="20"/>
      <c r="AC14" s="41" t="str">
        <f t="shared" si="13"/>
        <v/>
      </c>
      <c r="AD14" s="34" t="str">
        <f>IFERROR(VLOOKUP(E14, 'Lookup Tables'!$G$6:$P$27, MATCH(G14, 'Lookup Tables'!$H$5:$P$5,1)+1, FALSE), "")</f>
        <v/>
      </c>
      <c r="AE14" s="35" t="str">
        <f>IFERROR(VLOOKUP(E14, 'Lookup Tables'!$AC$6:$AL$27, MATCH(G14,'Lookup Tables'!$AD$5:$AL$5,1)+1, FALSE), "")</f>
        <v/>
      </c>
      <c r="AF14" s="392" t="str">
        <f t="shared" si="1"/>
        <v/>
      </c>
      <c r="AG14" s="41" t="str" cm="1">
        <f t="array" ref="AG14">IFERROR(IF(OR(M14="",D14=""),"",IF(AND(T14="single",U14&lt;65000,D14="New Construction",M14="Air Cooled - Single Package"),$E$27,IF(AND(T14="single",U14&lt;65000,D14="New Construction",M14="Air Cooled - Split System"),$E$28,IF(AND(D14="New Construction",H14&gt;15,T14="three"),INDEX($C$29:$J$64,MATCH(1,(M14=$C$29:$C$64)*(AR14=$D$29:$D$64),0),3),IF(AND(H14&lt;15,I14&lt;&gt;"",U14&lt;65000),I14,INDEX($C$29:$J$64,MATCH(1,(M14=$C$29:$C$64)*(AR14=$D$29:$D$64),0),3))))-AF14)),"")</f>
        <v/>
      </c>
      <c r="AH14" s="41" t="str" cm="1">
        <f t="array" ref="AH14">IFERROR(IF(OR(M14="",D14=""),"",IF(AND(T14="single",U14&lt;65000,D14="New Construction",M14="Air Cooled - Single Package"),$F$27,IF(AND(T14="single",U14&lt;65000,D14="New Construction",M14="Air Cooled - Split System"),$F$28,IF(AND(D14="New Construction",H14&gt;15,T14="Three"),INDEX($C$29:$J$64,MATCH(1,(M14=$C$29:$C$64)*(AR14=$D$29:$D$64),0),4),IF(AND(H14&lt;15,I14&lt;&gt;"",U14&lt;65000),I14,INDEX($C$29:$J$64,MATCH(1,(M14=$C$29:$C$64)*(AR14=$D$29:$D$64),0),4))))-AF14)),"")</f>
        <v/>
      </c>
      <c r="AI14" s="41" t="str">
        <f t="array" ref="AI14">IFERROR(IF(OR(M14="", D14=""), "", IF(OR(D14="New Construction", H14&gt;15), INDEX($C$29:$J$64, MATCH(1, (M14=$C$29:$C$64)*(AR14=$D$29:$D$64), 0), 5), IF(AND(H14&lt;15, I14&lt;&gt;"", U14&lt;65000), I14, INDEX($C$29:$J$64, MATCH(1, (M14=$C$29:$C$64)*(AR14=$D$29:$D$64), 0), 5))))-AF14, "")</f>
        <v/>
      </c>
      <c r="AJ14" s="478" t="str">
        <f t="shared" si="14"/>
        <v/>
      </c>
      <c r="AK14" s="478" t="str">
        <f t="shared" si="15"/>
        <v/>
      </c>
      <c r="AL14" s="478" t="str">
        <f t="shared" si="2"/>
        <v/>
      </c>
      <c r="AM14" s="497" t="str">
        <f t="shared" si="16"/>
        <v/>
      </c>
      <c r="AN14" s="497" t="str">
        <f t="shared" si="17"/>
        <v/>
      </c>
      <c r="AO14" s="496" t="str">
        <f t="shared" si="18"/>
        <v/>
      </c>
      <c r="AP14" s="16" t="str" cm="1">
        <f t="array" ref="AP14">IF(OR(S14="",M14="",D14="",AS14="No"),"",IF(S14&lt;=L14*V14*_xlfn.XLOOKUP(M14&amp;AR14,$C$26:$C$101&amp;$D$26:$D$101,$K$26:$K$101),S14,ROUND(L14*V14*_xlfn.XLOOKUP(M14&amp;AR14,$C$26:$C$101&amp;$D$26:$D$101,$K$26:$K$101),2)))</f>
        <v/>
      </c>
      <c r="AQ14" s="16" t="str">
        <f t="shared" si="3"/>
        <v/>
      </c>
      <c r="AR14" s="14" t="str">
        <f t="shared" si="4"/>
        <v/>
      </c>
      <c r="AS14" s="40" t="str">
        <f t="shared" si="5"/>
        <v/>
      </c>
      <c r="AT14" s="129" t="str">
        <f t="array" ref="AT14">IFERROR(INDEX($C$29:$O$64, MATCH(1, (M14=$C$29:$C$64)*(AR14=$D$29:$D$64), 0), 12), "")</f>
        <v/>
      </c>
      <c r="AU14" s="129" t="str">
        <f t="array" ref="AU14">IFERROR(INDEX($C$29:$O$64, MATCH(1, (M14=$C$29:$C$64)*(AR14=$D$29:$D$64), 0), 13), "")</f>
        <v/>
      </c>
      <c r="AV14" s="40" t="str">
        <f t="array" ref="AV14">IFERROR(INDEX($C$29:$O$64, MATCH(1, (M14=$C$29:$C$64)*(AR14=$D$29:$D$64), 0), 11), "")</f>
        <v/>
      </c>
      <c r="AW14" s="597" t="str">
        <f t="shared" si="6"/>
        <v/>
      </c>
      <c r="AX14" s="597" t="str">
        <f t="shared" si="7"/>
        <v/>
      </c>
      <c r="AY14" s="576" t="str">
        <f t="shared" si="8"/>
        <v/>
      </c>
      <c r="AZ14" s="576" t="str">
        <f t="shared" si="9"/>
        <v/>
      </c>
      <c r="BA14" s="23" t="str">
        <f t="shared" si="10"/>
        <v/>
      </c>
      <c r="BB14" s="23" t="str">
        <f t="shared" si="19"/>
        <v/>
      </c>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row>
    <row r="15" spans="1:96" customFormat="1" ht="19.5" customHeight="1">
      <c r="A15" s="11"/>
      <c r="B15" s="17">
        <v>5</v>
      </c>
      <c r="C15" s="452" t="s">
        <v>237</v>
      </c>
      <c r="D15" s="31"/>
      <c r="E15" s="31"/>
      <c r="F15" s="31"/>
      <c r="G15" s="149" t="str">
        <f>IFERROR(VLOOKUP(F15, 'Lookup Tables'!$B$5:$C$2226, 2, FALSE), "")</f>
        <v/>
      </c>
      <c r="H15" s="13"/>
      <c r="I15" s="111"/>
      <c r="J15" s="111"/>
      <c r="K15" s="111"/>
      <c r="L15" s="13"/>
      <c r="M15" s="110"/>
      <c r="N15" s="110"/>
      <c r="O15" s="32"/>
      <c r="P15" s="32"/>
      <c r="Q15" s="32"/>
      <c r="R15" s="31"/>
      <c r="S15" s="31"/>
      <c r="T15" s="110"/>
      <c r="U15" s="368"/>
      <c r="V15" s="34" t="str">
        <f t="shared" si="11"/>
        <v/>
      </c>
      <c r="W15" s="636" t="str" cm="1">
        <f t="array" ref="W15">IF(OR(U15="",D15=""),"",ROUND(_xlfn.IFS(AND(U15&lt;65000,T15="single"),AJ15,AND(U15&lt;65000,T15="three"),ROUND(1.2479*AJ15-2.8674,0),AND(U15&gt;=65000,T15="three"),AK15),2))</f>
        <v/>
      </c>
      <c r="X15" s="224" t="str" cm="1">
        <f t="array" ref="X15">IF(OR(D15="",U15=""),"",_xlfn.IFS(AND(T15="Single",U15&lt;65000),"SEER2",AND(T15="Three",U15&lt;65000),"SEER",AND(T15="Three",U15&gt;=65000),"EER"))</f>
        <v/>
      </c>
      <c r="Y15" s="20"/>
      <c r="Z15" s="636" t="str">
        <f t="shared" si="12"/>
        <v/>
      </c>
      <c r="AA15" s="225" t="str">
        <f t="shared" si="0"/>
        <v/>
      </c>
      <c r="AB15" s="20"/>
      <c r="AC15" s="41" t="str">
        <f t="shared" si="13"/>
        <v/>
      </c>
      <c r="AD15" s="34" t="str">
        <f>IFERROR(VLOOKUP(E15, 'Lookup Tables'!$G$6:$P$27, MATCH(G15, 'Lookup Tables'!$H$5:$P$5,1)+1, FALSE), "")</f>
        <v/>
      </c>
      <c r="AE15" s="35" t="str">
        <f>IFERROR(VLOOKUP(E15, 'Lookup Tables'!$AC$6:$AL$27, MATCH(G15,'Lookup Tables'!$AD$5:$AL$5,1)+1, FALSE), "")</f>
        <v/>
      </c>
      <c r="AF15" s="392" t="str">
        <f t="shared" si="1"/>
        <v/>
      </c>
      <c r="AG15" s="41" t="str" cm="1">
        <f t="array" ref="AG15">IFERROR(IF(OR(M15="",D15=""),"",IF(AND(T15="single",U15&lt;65000,D15="New Construction",M15="Air Cooled - Single Package"),$E$27,IF(AND(T15="single",U15&lt;65000,D15="New Construction",M15="Air Cooled - Split System"),$E$28,IF(AND(D15="New Construction",H15&gt;15,T15="three"),INDEX($C$29:$J$64,MATCH(1,(M15=$C$29:$C$64)*(AR15=$D$29:$D$64),0),3),IF(AND(H15&lt;15,I15&lt;&gt;"",U15&lt;65000),I15,INDEX($C$29:$J$64,MATCH(1,(M15=$C$29:$C$64)*(AR15=$D$29:$D$64),0),3))))-AF15)),"")</f>
        <v/>
      </c>
      <c r="AH15" s="41" t="str" cm="1">
        <f t="array" ref="AH15">IFERROR(IF(OR(M15="",D15=""),"",IF(AND(T15="single",U15&lt;65000,D15="New Construction",M15="Air Cooled - Single Package"),$F$27,IF(AND(T15="single",U15&lt;65000,D15="New Construction",M15="Air Cooled - Split System"),$F$28,IF(AND(D15="New Construction",H15&gt;15,T15="Three"),INDEX($C$29:$J$64,MATCH(1,(M15=$C$29:$C$64)*(AR15=$D$29:$D$64),0),4),IF(AND(H15&lt;15,I15&lt;&gt;"",U15&lt;65000),I15,INDEX($C$29:$J$64,MATCH(1,(M15=$C$29:$C$64)*(AR15=$D$29:$D$64),0),4))))-AF15)),"")</f>
        <v/>
      </c>
      <c r="AI15" s="41" t="str">
        <f t="array" ref="AI15">IFERROR(IF(OR(M15="", D15=""), "", IF(OR(D15="New Construction", H15&gt;15), INDEX($C$29:$J$64, MATCH(1, (M15=$C$29:$C$64)*(AR15=$D$29:$D$64), 0), 5), IF(AND(H15&lt;15, I15&lt;&gt;"", U15&lt;65000), I15, INDEX($C$29:$J$64, MATCH(1, (M15=$C$29:$C$64)*(AR15=$D$29:$D$64), 0), 5))))-AF15, "")</f>
        <v/>
      </c>
      <c r="AJ15" s="478" t="str">
        <f t="shared" si="14"/>
        <v/>
      </c>
      <c r="AK15" s="478" t="str">
        <f t="shared" si="15"/>
        <v/>
      </c>
      <c r="AL15" s="478" t="str">
        <f t="shared" si="2"/>
        <v/>
      </c>
      <c r="AM15" s="497" t="str">
        <f t="shared" si="16"/>
        <v/>
      </c>
      <c r="AN15" s="497" t="str">
        <f t="shared" si="17"/>
        <v/>
      </c>
      <c r="AO15" s="496" t="str">
        <f t="shared" si="18"/>
        <v/>
      </c>
      <c r="AP15" s="16" t="str" cm="1">
        <f t="array" ref="AP15">IF(OR(S15="",M15="",D15="",AS15="No"),"",IF(S15&lt;=L15*V15*_xlfn.XLOOKUP(M15&amp;AR15,$C$26:$C$101&amp;$D$26:$D$101,$K$26:$K$101),S15,ROUND(L15*V15*_xlfn.XLOOKUP(M15&amp;AR15,$C$26:$C$101&amp;$D$26:$D$101,$K$26:$K$101),2)))</f>
        <v/>
      </c>
      <c r="AQ15" s="16" t="str">
        <f t="shared" si="3"/>
        <v/>
      </c>
      <c r="AR15" s="14" t="str">
        <f t="shared" si="4"/>
        <v/>
      </c>
      <c r="AS15" s="40" t="str">
        <f t="shared" si="5"/>
        <v/>
      </c>
      <c r="AT15" s="129" t="str">
        <f t="array" ref="AT15">IFERROR(INDEX($C$29:$O$64, MATCH(1, (M15=$C$29:$C$64)*(AR15=$D$29:$D$64), 0), 12), "")</f>
        <v/>
      </c>
      <c r="AU15" s="129" t="str">
        <f t="array" ref="AU15">IFERROR(INDEX($C$29:$O$64, MATCH(1, (M15=$C$29:$C$64)*(AR15=$D$29:$D$64), 0), 13), "")</f>
        <v/>
      </c>
      <c r="AV15" s="40" t="str">
        <f t="array" ref="AV15">IFERROR(INDEX($C$29:$O$64, MATCH(1, (M15=$C$29:$C$64)*(AR15=$D$29:$D$64), 0), 11), "")</f>
        <v/>
      </c>
      <c r="AW15" s="597" t="str">
        <f t="shared" si="6"/>
        <v/>
      </c>
      <c r="AX15" s="597" t="str">
        <f t="shared" si="7"/>
        <v/>
      </c>
      <c r="AY15" s="576" t="str">
        <f t="shared" si="8"/>
        <v/>
      </c>
      <c r="AZ15" s="576" t="str">
        <f t="shared" si="9"/>
        <v/>
      </c>
      <c r="BA15" s="23" t="str">
        <f t="shared" si="10"/>
        <v/>
      </c>
      <c r="BB15" s="23" t="str">
        <f t="shared" si="19"/>
        <v/>
      </c>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row>
    <row r="16" spans="1:96" customFormat="1" ht="19.5" customHeight="1">
      <c r="A16" s="11"/>
      <c r="B16" s="17">
        <v>6</v>
      </c>
      <c r="C16" s="452" t="s">
        <v>237</v>
      </c>
      <c r="D16" s="31"/>
      <c r="E16" s="31"/>
      <c r="F16" s="31"/>
      <c r="G16" s="149" t="str">
        <f>IFERROR(VLOOKUP(F16, 'Lookup Tables'!$B$5:$C$2226, 2, FALSE), "")</f>
        <v/>
      </c>
      <c r="H16" s="13"/>
      <c r="I16" s="111"/>
      <c r="J16" s="111"/>
      <c r="K16" s="111"/>
      <c r="L16" s="13"/>
      <c r="M16" s="110"/>
      <c r="N16" s="110"/>
      <c r="O16" s="32"/>
      <c r="P16" s="32"/>
      <c r="Q16" s="32"/>
      <c r="R16" s="31"/>
      <c r="S16" s="31"/>
      <c r="T16" s="110"/>
      <c r="U16" s="368"/>
      <c r="V16" s="34" t="str">
        <f t="shared" si="11"/>
        <v/>
      </c>
      <c r="W16" s="636" t="str" cm="1">
        <f t="array" ref="W16">IF(OR(U16="",D16=""),"",ROUND(_xlfn.IFS(AND(U16&lt;65000,T16="single"),AJ16,AND(U16&lt;65000,T16="three"),ROUND(1.2479*AJ16-2.8674,0),AND(U16&gt;=65000,T16="three"),AK16),2))</f>
        <v/>
      </c>
      <c r="X16" s="224" t="str" cm="1">
        <f t="array" ref="X16">IF(OR(D16="",U16=""),"",_xlfn.IFS(AND(T16="Single",U16&lt;65000),"SEER2",AND(T16="Three",U16&lt;65000),"SEER",AND(T16="Three",U16&gt;=65000),"EER"))</f>
        <v/>
      </c>
      <c r="Y16" s="20"/>
      <c r="Z16" s="636" t="str">
        <f t="shared" si="12"/>
        <v/>
      </c>
      <c r="AA16" s="225" t="str">
        <f t="shared" si="0"/>
        <v/>
      </c>
      <c r="AB16" s="20"/>
      <c r="AC16" s="41" t="str">
        <f t="shared" si="13"/>
        <v/>
      </c>
      <c r="AD16" s="34" t="str">
        <f>IFERROR(VLOOKUP(E16, 'Lookup Tables'!$G$6:$P$27, MATCH(G16, 'Lookup Tables'!$H$5:$P$5,1)+1, FALSE), "")</f>
        <v/>
      </c>
      <c r="AE16" s="35" t="str">
        <f>IFERROR(VLOOKUP(E16, 'Lookup Tables'!$AC$6:$AL$27, MATCH(G16,'Lookup Tables'!$AD$5:$AL$5,1)+1, FALSE), "")</f>
        <v/>
      </c>
      <c r="AF16" s="392" t="str">
        <f t="shared" si="1"/>
        <v/>
      </c>
      <c r="AG16" s="41" t="str" cm="1">
        <f t="array" ref="AG16">IFERROR(IF(OR(M16="",D16=""),"",IF(AND(T16="single",U16&lt;65000,D16="New Construction",M16="Air Cooled - Single Package"),$E$27,IF(AND(T16="single",U16&lt;65000,D16="New Construction",M16="Air Cooled - Split System"),$E$28,IF(AND(D16="New Construction",H16&gt;15,T16="three"),INDEX($C$29:$J$64,MATCH(1,(M16=$C$29:$C$64)*(AR16=$D$29:$D$64),0),3),IF(AND(H16&lt;15,I16&lt;&gt;"",U16&lt;65000),I16,INDEX($C$29:$J$64,MATCH(1,(M16=$C$29:$C$64)*(AR16=$D$29:$D$64),0),3))))-AF16)),"")</f>
        <v/>
      </c>
      <c r="AH16" s="41" t="str" cm="1">
        <f t="array" ref="AH16">IFERROR(IF(OR(M16="",D16=""),"",IF(AND(T16="single",U16&lt;65000,D16="New Construction",M16="Air Cooled - Single Package"),$F$27,IF(AND(T16="single",U16&lt;65000,D16="New Construction",M16="Air Cooled - Split System"),$F$28,IF(AND(D16="New Construction",H16&gt;15,T16="Three"),INDEX($C$29:$J$64,MATCH(1,(M16=$C$29:$C$64)*(AR16=$D$29:$D$64),0),4),IF(AND(H16&lt;15,I16&lt;&gt;"",U16&lt;65000),I16,INDEX($C$29:$J$64,MATCH(1,(M16=$C$29:$C$64)*(AR16=$D$29:$D$64),0),4))))-AF16)),"")</f>
        <v/>
      </c>
      <c r="AI16" s="41" t="str">
        <f t="array" ref="AI16">IFERROR(IF(OR(M16="", D16=""), "", IF(OR(D16="New Construction", H16&gt;15), INDEX($C$29:$J$64, MATCH(1, (M16=$C$29:$C$64)*(AR16=$D$29:$D$64), 0), 5), IF(AND(H16&lt;15, I16&lt;&gt;"", U16&lt;65000), I16, INDEX($C$29:$J$64, MATCH(1, (M16=$C$29:$C$64)*(AR16=$D$29:$D$64), 0), 5))))-AF16, "")</f>
        <v/>
      </c>
      <c r="AJ16" s="478" t="str">
        <f t="shared" si="14"/>
        <v/>
      </c>
      <c r="AK16" s="478" t="str">
        <f t="shared" si="15"/>
        <v/>
      </c>
      <c r="AL16" s="478" t="str">
        <f t="shared" si="2"/>
        <v/>
      </c>
      <c r="AM16" s="497" t="str">
        <f t="shared" si="16"/>
        <v/>
      </c>
      <c r="AN16" s="497" t="str">
        <f t="shared" si="17"/>
        <v/>
      </c>
      <c r="AO16" s="496" t="str">
        <f t="shared" si="18"/>
        <v/>
      </c>
      <c r="AP16" s="16" t="str" cm="1">
        <f t="array" ref="AP16">IF(OR(S16="",M16="",D16="",AS16="No"),"",IF(S16&lt;=L16*V16*_xlfn.XLOOKUP(M16&amp;AR16,$C$26:$C$101&amp;$D$26:$D$101,$K$26:$K$101),S16,ROUND(L16*V16*_xlfn.XLOOKUP(M16&amp;AR16,$C$26:$C$101&amp;$D$26:$D$101,$K$26:$K$101),2)))</f>
        <v/>
      </c>
      <c r="AQ16" s="16" t="str">
        <f t="shared" si="3"/>
        <v/>
      </c>
      <c r="AR16" s="14" t="str">
        <f t="shared" si="4"/>
        <v/>
      </c>
      <c r="AS16" s="40" t="str">
        <f t="shared" si="5"/>
        <v/>
      </c>
      <c r="AT16" s="129" t="str">
        <f t="array" ref="AT16">IFERROR(INDEX($C$29:$O$64, MATCH(1, (M16=$C$29:$C$64)*(AR16=$D$29:$D$64), 0), 12), "")</f>
        <v/>
      </c>
      <c r="AU16" s="129" t="str">
        <f t="array" ref="AU16">IFERROR(INDEX($C$29:$O$64, MATCH(1, (M16=$C$29:$C$64)*(AR16=$D$29:$D$64), 0), 13), "")</f>
        <v/>
      </c>
      <c r="AV16" s="40" t="str">
        <f t="array" ref="AV16">IFERROR(INDEX($C$29:$O$64, MATCH(1, (M16=$C$29:$C$64)*(AR16=$D$29:$D$64), 0), 11), "")</f>
        <v/>
      </c>
      <c r="AW16" s="597" t="str">
        <f t="shared" si="6"/>
        <v/>
      </c>
      <c r="AX16" s="597" t="str">
        <f t="shared" si="7"/>
        <v/>
      </c>
      <c r="AY16" s="576" t="str">
        <f t="shared" si="8"/>
        <v/>
      </c>
      <c r="AZ16" s="576" t="str">
        <f t="shared" si="9"/>
        <v/>
      </c>
      <c r="BA16" s="23" t="str">
        <f t="shared" si="10"/>
        <v/>
      </c>
      <c r="BB16" s="23" t="str">
        <f t="shared" si="19"/>
        <v/>
      </c>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row>
    <row r="17" spans="1:96" customFormat="1" ht="26.25" customHeight="1">
      <c r="A17" s="11"/>
      <c r="B17" s="17">
        <v>7</v>
      </c>
      <c r="C17" s="452" t="s">
        <v>237</v>
      </c>
      <c r="D17" s="31"/>
      <c r="E17" s="31"/>
      <c r="F17" s="31"/>
      <c r="G17" s="149" t="str">
        <f>IFERROR(VLOOKUP(F17, 'Lookup Tables'!$B$5:$C$2226, 2, FALSE), "")</f>
        <v/>
      </c>
      <c r="H17" s="13"/>
      <c r="I17" s="111"/>
      <c r="J17" s="111"/>
      <c r="K17" s="111"/>
      <c r="L17" s="13"/>
      <c r="M17" s="110"/>
      <c r="N17" s="110"/>
      <c r="O17" s="32"/>
      <c r="P17" s="32"/>
      <c r="Q17" s="32"/>
      <c r="R17" s="31"/>
      <c r="S17" s="31"/>
      <c r="T17" s="110"/>
      <c r="U17" s="368"/>
      <c r="V17" s="34" t="str">
        <f t="shared" si="11"/>
        <v/>
      </c>
      <c r="W17" s="636" t="str" cm="1">
        <f t="array" ref="W17">IF(OR(U17="",D17=""),"",ROUND(_xlfn.IFS(AND(U17&lt;65000,T17="single"),AJ17,AND(U17&lt;65000,T17="three"),ROUND(1.2479*AJ17-2.8674,0),AND(U17&gt;=65000,T17="three"),AK17),2))</f>
        <v/>
      </c>
      <c r="X17" s="224" t="str" cm="1">
        <f t="array" ref="X17">IF(OR(D17="",U17=""),"",_xlfn.IFS(AND(T17="Single",U17&lt;65000),"SEER2",AND(T17="Three",U17&lt;65000),"SEER",AND(T17="Three",U17&gt;=65000),"EER"))</f>
        <v/>
      </c>
      <c r="Y17" s="20"/>
      <c r="Z17" s="636" t="str">
        <f t="shared" si="12"/>
        <v/>
      </c>
      <c r="AA17" s="225" t="str">
        <f t="shared" si="0"/>
        <v/>
      </c>
      <c r="AB17" s="20"/>
      <c r="AC17" s="41" t="str">
        <f t="shared" si="13"/>
        <v/>
      </c>
      <c r="AD17" s="34" t="str">
        <f>IFERROR(VLOOKUP(E17, 'Lookup Tables'!$G$6:$P$27, MATCH(G17, 'Lookup Tables'!$H$5:$P$5,1)+1, FALSE), "")</f>
        <v/>
      </c>
      <c r="AE17" s="35" t="str">
        <f>IFERROR(VLOOKUP(E17, 'Lookup Tables'!$AC$6:$AL$27, MATCH(G17,'Lookup Tables'!$AD$5:$AL$5,1)+1, FALSE), "")</f>
        <v/>
      </c>
      <c r="AF17" s="392" t="str">
        <f t="shared" si="1"/>
        <v/>
      </c>
      <c r="AG17" s="41" t="str" cm="1">
        <f t="array" ref="AG17">IFERROR(IF(OR(M17="",D17=""),"",IF(AND(T17="single",U17&lt;65000,D17="New Construction",M17="Air Cooled - Single Package"),$E$27,IF(AND(T17="single",U17&lt;65000,D17="New Construction",M17="Air Cooled - Split System"),$E$28,IF(AND(D17="New Construction",H17&gt;15,T17="three"),INDEX($C$29:$J$64,MATCH(1,(M17=$C$29:$C$64)*(AR17=$D$29:$D$64),0),3),IF(AND(H17&lt;15,I17&lt;&gt;"",U17&lt;65000),I17,INDEX($C$29:$J$64,MATCH(1,(M17=$C$29:$C$64)*(AR17=$D$29:$D$64),0),3))))-AF17)),"")</f>
        <v/>
      </c>
      <c r="AH17" s="41" t="str" cm="1">
        <f t="array" ref="AH17">IFERROR(IF(OR(M17="",D17=""),"",IF(AND(T17="single",U17&lt;65000,D17="New Construction",M17="Air Cooled - Single Package"),$F$27,IF(AND(T17="single",U17&lt;65000,D17="New Construction",M17="Air Cooled - Split System"),$F$28,IF(AND(D17="New Construction",H17&gt;15,T17="Three"),INDEX($C$29:$J$64,MATCH(1,(M17=$C$29:$C$64)*(AR17=$D$29:$D$64),0),4),IF(AND(H17&lt;15,I17&lt;&gt;"",U17&lt;65000),I17,INDEX($C$29:$J$64,MATCH(1,(M17=$C$29:$C$64)*(AR17=$D$29:$D$64),0),4))))-AF17)),"")</f>
        <v/>
      </c>
      <c r="AI17" s="41" t="str">
        <f t="array" ref="AI17">IFERROR(IF(OR(M17="", D17=""), "", IF(OR(D17="New Construction", H17&gt;15), INDEX($C$29:$J$64, MATCH(1, (M17=$C$29:$C$64)*(AR17=$D$29:$D$64), 0), 5), IF(AND(H17&lt;15, I17&lt;&gt;"", U17&lt;65000), I17, INDEX($C$29:$J$64, MATCH(1, (M17=$C$29:$C$64)*(AR17=$D$29:$D$64), 0), 5))))-AF17, "")</f>
        <v/>
      </c>
      <c r="AJ17" s="478" t="str">
        <f t="shared" si="14"/>
        <v/>
      </c>
      <c r="AK17" s="478" t="str">
        <f t="shared" si="15"/>
        <v/>
      </c>
      <c r="AL17" s="478" t="str">
        <f t="shared" si="2"/>
        <v/>
      </c>
      <c r="AM17" s="497" t="str">
        <f t="shared" si="16"/>
        <v/>
      </c>
      <c r="AN17" s="497" t="str">
        <f t="shared" si="17"/>
        <v/>
      </c>
      <c r="AO17" s="496" t="str">
        <f t="shared" si="18"/>
        <v/>
      </c>
      <c r="AP17" s="16" t="str" cm="1">
        <f t="array" ref="AP17">IF(OR(S17="",M17="",D17="",AS17="No"),"",IF(S17&lt;=L17*V17*_xlfn.XLOOKUP(M17&amp;AR17,$C$26:$C$101&amp;$D$26:$D$101,$K$26:$K$101),S17,ROUND(L17*V17*_xlfn.XLOOKUP(M17&amp;AR17,$C$26:$C$101&amp;$D$26:$D$101,$K$26:$K$101),2)))</f>
        <v/>
      </c>
      <c r="AQ17" s="16" t="str">
        <f t="shared" si="3"/>
        <v/>
      </c>
      <c r="AR17" s="14" t="str">
        <f t="shared" si="4"/>
        <v/>
      </c>
      <c r="AS17" s="40" t="str">
        <f t="shared" si="5"/>
        <v/>
      </c>
      <c r="AT17" s="129" t="str">
        <f t="array" ref="AT17">IFERROR(INDEX($C$29:$O$64, MATCH(1, (M17=$C$29:$C$64)*(AR17=$D$29:$D$64), 0), 12), "")</f>
        <v/>
      </c>
      <c r="AU17" s="129" t="str">
        <f t="array" ref="AU17">IFERROR(INDEX($C$29:$O$64, MATCH(1, (M17=$C$29:$C$64)*(AR17=$D$29:$D$64), 0), 13), "")</f>
        <v/>
      </c>
      <c r="AV17" s="40" t="str">
        <f t="array" ref="AV17">IFERROR(INDEX($C$29:$O$64, MATCH(1, (M17=$C$29:$C$64)*(AR17=$D$29:$D$64), 0), 11), "")</f>
        <v/>
      </c>
      <c r="AW17" s="597" t="str">
        <f t="shared" si="6"/>
        <v/>
      </c>
      <c r="AX17" s="597" t="str">
        <f t="shared" si="7"/>
        <v/>
      </c>
      <c r="AY17" s="576" t="str">
        <f t="shared" si="8"/>
        <v/>
      </c>
      <c r="AZ17" s="576" t="str">
        <f t="shared" si="9"/>
        <v/>
      </c>
      <c r="BA17" s="23" t="str">
        <f t="shared" si="10"/>
        <v/>
      </c>
      <c r="BB17" s="23" t="str">
        <f t="shared" si="19"/>
        <v/>
      </c>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row>
    <row r="18" spans="1:96" customFormat="1" ht="24" customHeight="1">
      <c r="A18" s="11"/>
      <c r="B18" s="17">
        <v>8</v>
      </c>
      <c r="C18" s="452" t="s">
        <v>237</v>
      </c>
      <c r="D18" s="31"/>
      <c r="E18" s="31"/>
      <c r="F18" s="31"/>
      <c r="G18" s="149" t="str">
        <f>IFERROR(VLOOKUP(F18, 'Lookup Tables'!$B$5:$C$2226, 2, FALSE), "")</f>
        <v/>
      </c>
      <c r="H18" s="13"/>
      <c r="I18" s="111"/>
      <c r="J18" s="111"/>
      <c r="K18" s="111"/>
      <c r="L18" s="13"/>
      <c r="M18" s="110"/>
      <c r="N18" s="110"/>
      <c r="O18" s="32"/>
      <c r="P18" s="32"/>
      <c r="Q18" s="32"/>
      <c r="R18" s="31"/>
      <c r="S18" s="31"/>
      <c r="T18" s="110"/>
      <c r="U18" s="368"/>
      <c r="V18" s="34" t="str">
        <f t="shared" si="11"/>
        <v/>
      </c>
      <c r="W18" s="636" t="str" cm="1">
        <f t="array" ref="W18">IF(OR(U18="",D18=""),"",ROUND(_xlfn.IFS(AND(U18&lt;65000,T18="single"),AJ18,AND(U18&lt;65000,T18="three"),ROUND(1.2479*AJ18-2.8674,0),AND(U18&gt;=65000,T18="three"),AK18),2))</f>
        <v/>
      </c>
      <c r="X18" s="224" t="str" cm="1">
        <f t="array" ref="X18">IF(OR(D18="",U18=""),"",_xlfn.IFS(AND(T18="Single",U18&lt;65000),"SEER2",AND(T18="Three",U18&lt;65000),"SEER",AND(T18="Three",U18&gt;=65000),"EER"))</f>
        <v/>
      </c>
      <c r="Y18" s="20"/>
      <c r="Z18" s="636" t="str">
        <f t="shared" si="12"/>
        <v/>
      </c>
      <c r="AA18" s="225" t="str">
        <f t="shared" si="0"/>
        <v/>
      </c>
      <c r="AB18" s="20"/>
      <c r="AC18" s="41" t="str">
        <f t="shared" si="13"/>
        <v/>
      </c>
      <c r="AD18" s="34" t="str">
        <f>IFERROR(VLOOKUP(E18, 'Lookup Tables'!$G$6:$P$27, MATCH(G18, 'Lookup Tables'!$H$5:$P$5,1)+1, FALSE), "")</f>
        <v/>
      </c>
      <c r="AE18" s="35" t="str">
        <f>IFERROR(VLOOKUP(E18, 'Lookup Tables'!$AC$6:$AL$27, MATCH(G18,'Lookup Tables'!$AD$5:$AL$5,1)+1, FALSE), "")</f>
        <v/>
      </c>
      <c r="AF18" s="392" t="str">
        <f t="shared" si="1"/>
        <v/>
      </c>
      <c r="AG18" s="41" t="str" cm="1">
        <f t="array" ref="AG18">IFERROR(IF(OR(M18="",D18=""),"",IF(AND(T18="single",U18&lt;65000,D18="New Construction",M18="Air Cooled - Single Package"),$E$27,IF(AND(T18="single",U18&lt;65000,D18="New Construction",M18="Air Cooled - Split System"),$E$28,IF(AND(D18="New Construction",H18&gt;15,T18="three"),INDEX($C$29:$J$64,MATCH(1,(M18=$C$29:$C$64)*(AR18=$D$29:$D$64),0),3),IF(AND(H18&lt;15,I18&lt;&gt;"",U18&lt;65000),I18,INDEX($C$29:$J$64,MATCH(1,(M18=$C$29:$C$64)*(AR18=$D$29:$D$64),0),3))))-AF18)),"")</f>
        <v/>
      </c>
      <c r="AH18" s="41" t="str" cm="1">
        <f t="array" ref="AH18">IFERROR(IF(OR(M18="",D18=""),"",IF(AND(T18="single",U18&lt;65000,D18="New Construction",M18="Air Cooled - Single Package"),$F$27,IF(AND(T18="single",U18&lt;65000,D18="New Construction",M18="Air Cooled - Split System"),$F$28,IF(AND(D18="New Construction",H18&gt;15,T18="Three"),INDEX($C$29:$J$64,MATCH(1,(M18=$C$29:$C$64)*(AR18=$D$29:$D$64),0),4),IF(AND(H18&lt;15,I18&lt;&gt;"",U18&lt;65000),I18,INDEX($C$29:$J$64,MATCH(1,(M18=$C$29:$C$64)*(AR18=$D$29:$D$64),0),4))))-AF18)),"")</f>
        <v/>
      </c>
      <c r="AI18" s="41" t="str">
        <f t="array" ref="AI18">IFERROR(IF(OR(M18="", D18=""), "", IF(OR(D18="New Construction", H18&gt;15), INDEX($C$29:$J$64, MATCH(1, (M18=$C$29:$C$64)*(AR18=$D$29:$D$64), 0), 5), IF(AND(H18&lt;15, I18&lt;&gt;"", U18&lt;65000), I18, INDEX($C$29:$J$64, MATCH(1, (M18=$C$29:$C$64)*(AR18=$D$29:$D$64), 0), 5))))-AF18, "")</f>
        <v/>
      </c>
      <c r="AJ18" s="478" t="str">
        <f t="shared" si="14"/>
        <v/>
      </c>
      <c r="AK18" s="478" t="str">
        <f t="shared" si="15"/>
        <v/>
      </c>
      <c r="AL18" s="478" t="str">
        <f t="shared" si="2"/>
        <v/>
      </c>
      <c r="AM18" s="497" t="str">
        <f t="shared" si="16"/>
        <v/>
      </c>
      <c r="AN18" s="497" t="str">
        <f t="shared" si="17"/>
        <v/>
      </c>
      <c r="AO18" s="496" t="str">
        <f t="shared" si="18"/>
        <v/>
      </c>
      <c r="AP18" s="16" t="str" cm="1">
        <f t="array" ref="AP18">IF(OR(S18="",M18="",D18="",AS18="No"),"",IF(S18&lt;=L18*V18*_xlfn.XLOOKUP(M18&amp;AR18,$C$26:$C$101&amp;$D$26:$D$101,$K$26:$K$101),S18,ROUND(L18*V18*_xlfn.XLOOKUP(M18&amp;AR18,$C$26:$C$101&amp;$D$26:$D$101,$K$26:$K$101),2)))</f>
        <v/>
      </c>
      <c r="AQ18" s="16" t="str">
        <f t="shared" si="3"/>
        <v/>
      </c>
      <c r="AR18" s="14" t="str">
        <f t="shared" si="4"/>
        <v/>
      </c>
      <c r="AS18" s="40" t="str">
        <f t="shared" si="5"/>
        <v/>
      </c>
      <c r="AT18" s="129" t="str">
        <f t="array" ref="AT18">IFERROR(INDEX($C$29:$O$64, MATCH(1, (M18=$C$29:$C$64)*(AR18=$D$29:$D$64), 0), 12), "")</f>
        <v/>
      </c>
      <c r="AU18" s="129" t="str">
        <f t="array" ref="AU18">IFERROR(INDEX($C$29:$O$64, MATCH(1, (M18=$C$29:$C$64)*(AR18=$D$29:$D$64), 0), 13), "")</f>
        <v/>
      </c>
      <c r="AV18" s="40" t="str">
        <f t="array" ref="AV18">IFERROR(INDEX($C$29:$O$64, MATCH(1, (M18=$C$29:$C$64)*(AR18=$D$29:$D$64), 0), 11), "")</f>
        <v/>
      </c>
      <c r="AW18" s="597" t="str">
        <f t="shared" si="6"/>
        <v/>
      </c>
      <c r="AX18" s="597" t="str">
        <f t="shared" si="7"/>
        <v/>
      </c>
      <c r="AY18" s="576" t="str">
        <f t="shared" si="8"/>
        <v/>
      </c>
      <c r="AZ18" s="576" t="str">
        <f t="shared" si="9"/>
        <v/>
      </c>
      <c r="BA18" s="23" t="str">
        <f t="shared" si="10"/>
        <v/>
      </c>
      <c r="BB18" s="23" t="str">
        <f t="shared" si="19"/>
        <v/>
      </c>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row>
    <row r="19" spans="1:96" customFormat="1" ht="15">
      <c r="A19" s="11"/>
      <c r="B19" s="190"/>
      <c r="C19" s="190"/>
      <c r="D19" s="190"/>
      <c r="E19" s="190"/>
      <c r="F19" s="190"/>
      <c r="G19" s="190"/>
      <c r="H19" s="190"/>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t="str" cm="1">
        <f t="array" ref="AH19">IFERROR(IF(OR(M19="",D19=""),"",IF(AND(T19="single",U19&lt;65000,D19="New Construction",M19="Air Cooled - Single Package"),$F$27,IF(AND(T19="single",U19&lt;65000,D19="New Construction",M19="Air Cooled - Split System"),$F$28,IF(AND(D19="New Construction",H19&gt;15,T19="Three"),INDEX($C$29:$J$64,MATCH(1,(M19=$C$29:$C$64)*(AR19=$D$29:$D$64),0),4),IF(AND(H19&lt;15,I19&lt;&gt;"",U19&lt;65000),I19,INDEX($C$29:$J$64,MATCH(1,(M19=$C$29:$C$64)*(AR19=$D$29:$D$64),0),4))))-AF19)),"")</f>
        <v/>
      </c>
      <c r="AI19" s="190"/>
      <c r="AJ19" s="190"/>
      <c r="AK19" s="190"/>
      <c r="AL19" s="190"/>
      <c r="AM19" s="190"/>
      <c r="AN19" s="190"/>
      <c r="AO19" s="190"/>
      <c r="AP19" s="190"/>
      <c r="AQ19" s="190"/>
      <c r="AR19" s="190"/>
      <c r="AS19" s="190"/>
      <c r="AT19" s="190"/>
      <c r="AU19" s="190"/>
      <c r="AV19" s="190"/>
      <c r="AW19" s="150"/>
      <c r="AX19" s="150"/>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row>
    <row r="20" spans="1:96" customFormat="1" ht="15" hidden="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row>
    <row r="21" spans="1:96" customFormat="1" ht="15" hidden="1">
      <c r="A21" s="11"/>
      <c r="B21" s="11"/>
      <c r="C21" s="599" t="s">
        <v>246</v>
      </c>
      <c r="D21" s="599" t="s">
        <v>205</v>
      </c>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row>
    <row r="22" spans="1:96" customFormat="1" ht="15" hidden="1">
      <c r="A22" s="11"/>
      <c r="B22" s="11"/>
      <c r="C22" s="598">
        <f>1.2476*D22-2.8674</f>
        <v>14.474240000000002</v>
      </c>
      <c r="D22" s="600">
        <v>13.9</v>
      </c>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row>
    <row r="23" spans="1:96" customFormat="1" ht="15" hidden="1">
      <c r="A23" s="147"/>
      <c r="B23" s="147"/>
      <c r="C23" s="600">
        <v>18</v>
      </c>
      <c r="D23" s="598">
        <f>(C23+2.8674)/1.2476</f>
        <v>16.726033985251682</v>
      </c>
      <c r="E23" s="741" t="s">
        <v>247</v>
      </c>
      <c r="F23" s="708"/>
      <c r="G23" s="708"/>
      <c r="H23" s="708"/>
      <c r="I23" s="708"/>
      <c r="J23" s="708"/>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row>
    <row r="24" spans="1:96" customFormat="1" ht="15" hidden="1">
      <c r="A24" s="147"/>
      <c r="B24" s="147"/>
      <c r="C24" s="11"/>
      <c r="D24" s="11"/>
      <c r="E24" s="743" t="s">
        <v>248</v>
      </c>
      <c r="F24" s="744"/>
      <c r="G24" s="745"/>
      <c r="H24" s="752" t="s">
        <v>249</v>
      </c>
      <c r="I24" s="753"/>
      <c r="J24" s="754"/>
      <c r="K24" s="11"/>
      <c r="L24" s="11"/>
      <c r="M24" s="11"/>
      <c r="N24" s="11"/>
      <c r="O24" s="11"/>
      <c r="P24" s="11"/>
      <c r="Q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row>
    <row r="25" spans="1:96" customFormat="1" ht="15.75" hidden="1" thickBot="1">
      <c r="A25" s="147"/>
      <c r="B25" s="147"/>
      <c r="C25" s="11"/>
      <c r="D25" s="11"/>
      <c r="E25" s="746"/>
      <c r="F25" s="747"/>
      <c r="G25" s="748"/>
      <c r="H25" s="755"/>
      <c r="I25" s="756"/>
      <c r="J25" s="757"/>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23"/>
      <c r="AZ25" s="123"/>
      <c r="BA25" s="123"/>
      <c r="BB25" s="123"/>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row>
    <row r="26" spans="1:96" customFormat="1" ht="15" hidden="1">
      <c r="A26" s="147"/>
      <c r="B26" s="147"/>
      <c r="C26" s="558" t="s">
        <v>250</v>
      </c>
      <c r="D26" s="559" t="s">
        <v>104</v>
      </c>
      <c r="E26" s="81" t="s">
        <v>251</v>
      </c>
      <c r="F26" s="81" t="s">
        <v>252</v>
      </c>
      <c r="G26" s="81" t="s">
        <v>253</v>
      </c>
      <c r="H26" s="81" t="s">
        <v>205</v>
      </c>
      <c r="I26" s="81" t="s">
        <v>254</v>
      </c>
      <c r="J26" s="81" t="s">
        <v>255</v>
      </c>
      <c r="K26" s="81" t="s">
        <v>45</v>
      </c>
      <c r="L26" s="81" t="s">
        <v>256</v>
      </c>
      <c r="M26" s="560" t="s">
        <v>134</v>
      </c>
      <c r="N26" s="560" t="s">
        <v>132</v>
      </c>
      <c r="O26" s="560" t="s">
        <v>143</v>
      </c>
      <c r="P26" s="561" t="s">
        <v>257</v>
      </c>
      <c r="Q26" s="562" t="s">
        <v>258</v>
      </c>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23"/>
      <c r="AZ26" s="123"/>
      <c r="BA26" s="123"/>
      <c r="BB26" s="123"/>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row>
    <row r="27" spans="1:96" customFormat="1" ht="15" hidden="1">
      <c r="A27" s="147"/>
      <c r="B27" s="147"/>
      <c r="C27" s="624" t="s">
        <v>259</v>
      </c>
      <c r="D27" s="625" t="s">
        <v>260</v>
      </c>
      <c r="E27" s="626">
        <v>13.9</v>
      </c>
      <c r="F27" s="626">
        <v>11.6</v>
      </c>
      <c r="G27" s="626"/>
      <c r="H27" s="626"/>
      <c r="I27" s="626"/>
      <c r="J27" s="626"/>
      <c r="K27" s="626"/>
      <c r="L27" s="626"/>
      <c r="M27" s="490"/>
      <c r="N27" s="490"/>
      <c r="O27" s="490"/>
      <c r="P27" s="627"/>
      <c r="Q27" s="628" t="s">
        <v>261</v>
      </c>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23"/>
      <c r="AZ27" s="123"/>
      <c r="BA27" s="123"/>
      <c r="BB27" s="123"/>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row>
    <row r="28" spans="1:96" customFormat="1" ht="15" hidden="1">
      <c r="A28" s="147"/>
      <c r="B28" s="147"/>
      <c r="C28" s="624" t="s">
        <v>262</v>
      </c>
      <c r="D28" s="625" t="s">
        <v>263</v>
      </c>
      <c r="E28" s="626">
        <v>15</v>
      </c>
      <c r="F28" s="626">
        <v>12.1</v>
      </c>
      <c r="G28" s="626"/>
      <c r="H28" s="626"/>
      <c r="I28" s="626"/>
      <c r="J28" s="626"/>
      <c r="K28" s="626"/>
      <c r="L28" s="626"/>
      <c r="M28" s="490"/>
      <c r="N28" s="490"/>
      <c r="O28" s="490"/>
      <c r="P28" s="627"/>
      <c r="Q28" s="628" t="s">
        <v>261</v>
      </c>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23"/>
      <c r="AZ28" s="123"/>
      <c r="BA28" s="123"/>
      <c r="BB28" s="123"/>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row>
    <row r="29" spans="1:96" customFormat="1" ht="15" hidden="1">
      <c r="A29" s="147"/>
      <c r="B29" s="147"/>
      <c r="C29" s="93" t="s">
        <v>245</v>
      </c>
      <c r="D29" s="83" t="s">
        <v>264</v>
      </c>
      <c r="E29" s="601">
        <v>13</v>
      </c>
      <c r="F29" s="601">
        <f>E29*(11.3/13)</f>
        <v>11.3</v>
      </c>
      <c r="G29" s="56" t="s">
        <v>109</v>
      </c>
      <c r="H29" s="553">
        <v>15.2</v>
      </c>
      <c r="I29" s="56">
        <v>13</v>
      </c>
      <c r="J29" s="56" t="s">
        <v>109</v>
      </c>
      <c r="K29" s="3">
        <v>50</v>
      </c>
      <c r="L29" s="86" t="s">
        <v>265</v>
      </c>
      <c r="M29" s="357" t="s">
        <v>266</v>
      </c>
      <c r="N29" s="130" t="s">
        <v>267</v>
      </c>
      <c r="O29" s="130" t="s">
        <v>268</v>
      </c>
      <c r="P29" s="23" t="s">
        <v>269</v>
      </c>
      <c r="Q29" s="563" t="s">
        <v>270</v>
      </c>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23"/>
      <c r="AZ29" s="123"/>
      <c r="BA29" s="123"/>
      <c r="BB29" s="123"/>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row>
    <row r="30" spans="1:96" customFormat="1" ht="15" hidden="1">
      <c r="A30" s="147"/>
      <c r="B30" s="147"/>
      <c r="C30" s="93" t="s">
        <v>245</v>
      </c>
      <c r="D30" s="83" t="s">
        <v>271</v>
      </c>
      <c r="E30" s="601">
        <v>13</v>
      </c>
      <c r="F30" s="601">
        <f>E30*(11.3/13)</f>
        <v>11.3</v>
      </c>
      <c r="G30" s="56" t="s">
        <v>109</v>
      </c>
      <c r="H30" s="553">
        <v>16.899999999999999</v>
      </c>
      <c r="I30" s="56">
        <v>13</v>
      </c>
      <c r="J30" s="56" t="s">
        <v>109</v>
      </c>
      <c r="K30" s="3">
        <v>100</v>
      </c>
      <c r="L30" s="86" t="s">
        <v>265</v>
      </c>
      <c r="M30" s="357" t="s">
        <v>266</v>
      </c>
      <c r="N30" s="130" t="s">
        <v>267</v>
      </c>
      <c r="O30" s="130" t="s">
        <v>272</v>
      </c>
      <c r="P30" s="23" t="s">
        <v>269</v>
      </c>
      <c r="Q30" s="563" t="s">
        <v>270</v>
      </c>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23"/>
      <c r="AZ30" s="123"/>
      <c r="BA30" s="123"/>
      <c r="BB30" s="123"/>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row>
    <row r="31" spans="1:96" customFormat="1" ht="15" hidden="1">
      <c r="A31" s="147"/>
      <c r="B31" s="147"/>
      <c r="C31" s="93" t="s">
        <v>245</v>
      </c>
      <c r="D31" s="83" t="s">
        <v>273</v>
      </c>
      <c r="E31" s="86" t="s">
        <v>109</v>
      </c>
      <c r="F31" s="602">
        <v>11.7</v>
      </c>
      <c r="G31" s="602">
        <v>14.8</v>
      </c>
      <c r="H31" s="56" t="s">
        <v>109</v>
      </c>
      <c r="I31" s="839">
        <f>ROUND(F31*1.05,1)</f>
        <v>12.3</v>
      </c>
      <c r="J31" s="839">
        <f>ROUND(G31*1.05,1)</f>
        <v>15.5</v>
      </c>
      <c r="K31" s="3">
        <v>125</v>
      </c>
      <c r="L31" s="86" t="s">
        <v>265</v>
      </c>
      <c r="M31" s="357" t="s">
        <v>274</v>
      </c>
      <c r="N31" s="130" t="s">
        <v>275</v>
      </c>
      <c r="O31" s="130" t="s">
        <v>276</v>
      </c>
      <c r="P31" s="23" t="s">
        <v>269</v>
      </c>
      <c r="Q31" s="563" t="s">
        <v>270</v>
      </c>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23"/>
      <c r="AZ31" s="123"/>
      <c r="BA31" s="123"/>
      <c r="BB31" s="123"/>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row>
    <row r="32" spans="1:96" customFormat="1" ht="15" hidden="1">
      <c r="A32" s="147"/>
      <c r="B32" s="147"/>
      <c r="C32" s="93" t="s">
        <v>245</v>
      </c>
      <c r="D32" s="83" t="s">
        <v>277</v>
      </c>
      <c r="E32" s="86" t="s">
        <v>109</v>
      </c>
      <c r="F32" s="602">
        <v>11.4</v>
      </c>
      <c r="G32" s="602">
        <v>14.2</v>
      </c>
      <c r="H32" s="56" t="s">
        <v>109</v>
      </c>
      <c r="I32" s="839">
        <f t="shared" ref="I32:I34" si="20">ROUND(F32*1.05,1)</f>
        <v>12</v>
      </c>
      <c r="J32" s="839">
        <f t="shared" ref="J32:J34" si="21">ROUND(G32*1.05,1)</f>
        <v>14.9</v>
      </c>
      <c r="K32" s="3">
        <v>125</v>
      </c>
      <c r="L32" s="86" t="s">
        <v>265</v>
      </c>
      <c r="M32" s="357" t="s">
        <v>274</v>
      </c>
      <c r="N32" s="130" t="s">
        <v>278</v>
      </c>
      <c r="O32" s="130" t="s">
        <v>276</v>
      </c>
      <c r="P32" s="23" t="s">
        <v>269</v>
      </c>
      <c r="Q32" s="563" t="s">
        <v>270</v>
      </c>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23"/>
      <c r="AZ32" s="123"/>
      <c r="BA32" s="123"/>
      <c r="BB32" s="123"/>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row>
    <row r="33" spans="1:95" customFormat="1" ht="15" hidden="1">
      <c r="A33" s="147"/>
      <c r="B33" s="147"/>
      <c r="C33" s="93" t="s">
        <v>245</v>
      </c>
      <c r="D33" s="83" t="s">
        <v>279</v>
      </c>
      <c r="E33" s="86" t="s">
        <v>109</v>
      </c>
      <c r="F33" s="602">
        <v>10.4</v>
      </c>
      <c r="G33" s="602">
        <v>13.2</v>
      </c>
      <c r="H33" s="56" t="s">
        <v>109</v>
      </c>
      <c r="I33" s="839">
        <f t="shared" si="20"/>
        <v>10.9</v>
      </c>
      <c r="J33" s="839">
        <f t="shared" si="21"/>
        <v>13.9</v>
      </c>
      <c r="K33" s="3">
        <v>100</v>
      </c>
      <c r="L33" s="86" t="s">
        <v>265</v>
      </c>
      <c r="M33" s="357" t="s">
        <v>280</v>
      </c>
      <c r="N33" s="130" t="s">
        <v>281</v>
      </c>
      <c r="O33" s="130" t="s">
        <v>282</v>
      </c>
      <c r="P33" s="23" t="s">
        <v>269</v>
      </c>
      <c r="Q33" s="563" t="s">
        <v>270</v>
      </c>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23"/>
      <c r="AZ33" s="123"/>
      <c r="BA33" s="123"/>
      <c r="BB33" s="123"/>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row>
    <row r="34" spans="1:95" customFormat="1" ht="15" hidden="1">
      <c r="A34" s="147"/>
      <c r="B34" s="147"/>
      <c r="C34" s="93" t="s">
        <v>245</v>
      </c>
      <c r="D34" s="83" t="s">
        <v>283</v>
      </c>
      <c r="E34" s="86" t="s">
        <v>109</v>
      </c>
      <c r="F34" s="86">
        <v>9.6999999999999993</v>
      </c>
      <c r="G34" s="86">
        <v>11.2</v>
      </c>
      <c r="H34" s="56" t="s">
        <v>109</v>
      </c>
      <c r="I34" s="839">
        <f t="shared" si="20"/>
        <v>10.199999999999999</v>
      </c>
      <c r="J34" s="839">
        <f t="shared" si="21"/>
        <v>11.8</v>
      </c>
      <c r="K34" s="3">
        <v>100</v>
      </c>
      <c r="L34" s="86" t="s">
        <v>265</v>
      </c>
      <c r="M34" s="357" t="s">
        <v>280</v>
      </c>
      <c r="N34" s="130" t="s">
        <v>284</v>
      </c>
      <c r="O34" s="130" t="s">
        <v>282</v>
      </c>
      <c r="P34" s="23" t="s">
        <v>269</v>
      </c>
      <c r="Q34" s="563" t="s">
        <v>270</v>
      </c>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23"/>
      <c r="AZ34" s="123"/>
      <c r="BA34" s="123"/>
      <c r="BB34" s="123"/>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row>
    <row r="35" spans="1:95" customFormat="1" ht="15" hidden="1">
      <c r="A35" s="147"/>
      <c r="B35" s="147"/>
      <c r="C35" s="93" t="s">
        <v>240</v>
      </c>
      <c r="D35" s="83" t="s">
        <v>264</v>
      </c>
      <c r="E35" s="601">
        <v>14</v>
      </c>
      <c r="F35" s="601">
        <f t="shared" ref="F35:F36" si="22">E35*(11.3/13)</f>
        <v>12.169230769230769</v>
      </c>
      <c r="G35" s="56" t="s">
        <v>109</v>
      </c>
      <c r="H35" s="553">
        <v>15.2</v>
      </c>
      <c r="I35" s="56">
        <v>13</v>
      </c>
      <c r="J35" s="56" t="s">
        <v>109</v>
      </c>
      <c r="K35" s="3">
        <v>50</v>
      </c>
      <c r="L35" s="86" t="s">
        <v>265</v>
      </c>
      <c r="M35" s="357" t="s">
        <v>266</v>
      </c>
      <c r="N35" s="130" t="s">
        <v>285</v>
      </c>
      <c r="O35" s="130" t="s">
        <v>268</v>
      </c>
      <c r="P35" s="23" t="s">
        <v>269</v>
      </c>
      <c r="Q35" s="563" t="s">
        <v>270</v>
      </c>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23"/>
      <c r="AZ35" s="123"/>
      <c r="BA35" s="123"/>
      <c r="BB35" s="123"/>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row>
    <row r="36" spans="1:95" customFormat="1" ht="15" hidden="1">
      <c r="A36" s="147"/>
      <c r="B36" s="147"/>
      <c r="C36" s="93" t="s">
        <v>240</v>
      </c>
      <c r="D36" s="83" t="s">
        <v>271</v>
      </c>
      <c r="E36" s="601">
        <v>14</v>
      </c>
      <c r="F36" s="601">
        <f t="shared" si="22"/>
        <v>12.169230769230769</v>
      </c>
      <c r="G36" s="56" t="s">
        <v>109</v>
      </c>
      <c r="H36" s="553">
        <v>16.899999999999999</v>
      </c>
      <c r="I36" s="56">
        <v>13</v>
      </c>
      <c r="J36" s="56" t="s">
        <v>109</v>
      </c>
      <c r="K36" s="3">
        <v>100</v>
      </c>
      <c r="L36" s="86" t="s">
        <v>265</v>
      </c>
      <c r="M36" s="357" t="s">
        <v>266</v>
      </c>
      <c r="N36" s="130" t="s">
        <v>285</v>
      </c>
      <c r="O36" s="130" t="s">
        <v>272</v>
      </c>
      <c r="P36" s="23" t="s">
        <v>269</v>
      </c>
      <c r="Q36" s="563" t="s">
        <v>270</v>
      </c>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23"/>
      <c r="AZ36" s="123"/>
      <c r="BA36" s="123"/>
      <c r="BB36" s="123"/>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row>
    <row r="37" spans="1:95" customFormat="1" ht="15" hidden="1">
      <c r="A37" s="147"/>
      <c r="B37" s="147"/>
      <c r="C37" s="93" t="s">
        <v>240</v>
      </c>
      <c r="D37" s="83" t="s">
        <v>273</v>
      </c>
      <c r="E37" s="86" t="s">
        <v>109</v>
      </c>
      <c r="F37" s="602">
        <v>11.7</v>
      </c>
      <c r="G37" s="602">
        <v>14.8</v>
      </c>
      <c r="H37" s="56" t="s">
        <v>109</v>
      </c>
      <c r="I37" s="839">
        <f t="shared" ref="I37:I40" si="23">ROUND(F37*1.05,1)</f>
        <v>12.3</v>
      </c>
      <c r="J37" s="839">
        <f t="shared" ref="J37:J40" si="24">ROUND(G37*1.05,1)</f>
        <v>15.5</v>
      </c>
      <c r="K37" s="3">
        <v>125</v>
      </c>
      <c r="L37" s="86" t="s">
        <v>265</v>
      </c>
      <c r="M37" s="357" t="s">
        <v>274</v>
      </c>
      <c r="N37" s="130" t="s">
        <v>286</v>
      </c>
      <c r="O37" s="130" t="s">
        <v>276</v>
      </c>
      <c r="P37" s="23" t="s">
        <v>269</v>
      </c>
      <c r="Q37" s="563" t="s">
        <v>270</v>
      </c>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23"/>
      <c r="AZ37" s="123"/>
      <c r="BA37" s="123"/>
      <c r="BB37" s="123"/>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row>
    <row r="38" spans="1:95" customFormat="1" ht="15" hidden="1">
      <c r="A38" s="147"/>
      <c r="B38" s="147"/>
      <c r="C38" s="93" t="s">
        <v>240</v>
      </c>
      <c r="D38" s="83" t="s">
        <v>277</v>
      </c>
      <c r="E38" s="86" t="s">
        <v>109</v>
      </c>
      <c r="F38" s="602">
        <v>11.4</v>
      </c>
      <c r="G38" s="602">
        <v>14.2</v>
      </c>
      <c r="H38" s="56" t="s">
        <v>109</v>
      </c>
      <c r="I38" s="839">
        <f t="shared" si="23"/>
        <v>12</v>
      </c>
      <c r="J38" s="839">
        <f t="shared" si="24"/>
        <v>14.9</v>
      </c>
      <c r="K38" s="3">
        <v>125</v>
      </c>
      <c r="L38" s="86" t="s">
        <v>265</v>
      </c>
      <c r="M38" s="357" t="s">
        <v>274</v>
      </c>
      <c r="N38" s="130" t="s">
        <v>287</v>
      </c>
      <c r="O38" s="130" t="s">
        <v>276</v>
      </c>
      <c r="P38" s="23" t="s">
        <v>269</v>
      </c>
      <c r="Q38" s="563" t="s">
        <v>270</v>
      </c>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23"/>
      <c r="AZ38" s="123"/>
      <c r="BA38" s="123"/>
      <c r="BB38" s="123"/>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row>
    <row r="39" spans="1:95" customFormat="1" ht="15" hidden="1">
      <c r="A39" s="147"/>
      <c r="B39" s="147"/>
      <c r="C39" s="93" t="s">
        <v>240</v>
      </c>
      <c r="D39" s="83" t="s">
        <v>279</v>
      </c>
      <c r="E39" s="86" t="s">
        <v>109</v>
      </c>
      <c r="F39" s="602">
        <v>10.4</v>
      </c>
      <c r="G39" s="602">
        <v>13.2</v>
      </c>
      <c r="H39" s="56" t="s">
        <v>109</v>
      </c>
      <c r="I39" s="839">
        <f t="shared" si="23"/>
        <v>10.9</v>
      </c>
      <c r="J39" s="839">
        <f t="shared" si="24"/>
        <v>13.9</v>
      </c>
      <c r="K39" s="3">
        <v>100</v>
      </c>
      <c r="L39" s="86" t="s">
        <v>265</v>
      </c>
      <c r="M39" s="357" t="s">
        <v>280</v>
      </c>
      <c r="N39" s="130" t="s">
        <v>288</v>
      </c>
      <c r="O39" s="130" t="s">
        <v>282</v>
      </c>
      <c r="P39" s="23" t="s">
        <v>269</v>
      </c>
      <c r="Q39" s="563" t="s">
        <v>270</v>
      </c>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23"/>
      <c r="AZ39" s="123"/>
      <c r="BA39" s="123"/>
      <c r="BB39" s="123"/>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row>
    <row r="40" spans="1:95" customFormat="1" ht="15" hidden="1">
      <c r="A40" s="147"/>
      <c r="B40" s="147"/>
      <c r="C40" s="93" t="s">
        <v>240</v>
      </c>
      <c r="D40" s="83" t="s">
        <v>283</v>
      </c>
      <c r="E40" s="86" t="s">
        <v>109</v>
      </c>
      <c r="F40" s="86">
        <v>9.6999999999999993</v>
      </c>
      <c r="G40" s="86">
        <v>11.2</v>
      </c>
      <c r="H40" s="56" t="s">
        <v>109</v>
      </c>
      <c r="I40" s="839">
        <f t="shared" si="23"/>
        <v>10.199999999999999</v>
      </c>
      <c r="J40" s="839">
        <f t="shared" si="24"/>
        <v>11.8</v>
      </c>
      <c r="K40" s="3">
        <v>100</v>
      </c>
      <c r="L40" s="86" t="s">
        <v>265</v>
      </c>
      <c r="M40" s="357" t="s">
        <v>280</v>
      </c>
      <c r="N40" s="130" t="s">
        <v>289</v>
      </c>
      <c r="O40" s="130" t="s">
        <v>282</v>
      </c>
      <c r="P40" s="23" t="s">
        <v>269</v>
      </c>
      <c r="Q40" s="563" t="s">
        <v>270</v>
      </c>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23"/>
      <c r="AZ40" s="123"/>
      <c r="BA40" s="123"/>
      <c r="BB40" s="123"/>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row>
    <row r="41" spans="1:95" customFormat="1" ht="15" hidden="1">
      <c r="A41" s="147"/>
      <c r="B41" s="147"/>
      <c r="C41" s="93" t="s">
        <v>290</v>
      </c>
      <c r="D41" s="83" t="s">
        <v>264</v>
      </c>
      <c r="E41" s="86">
        <f>F41*13/11.3</f>
        <v>13.920353982300883</v>
      </c>
      <c r="F41" s="86">
        <v>12.1</v>
      </c>
      <c r="G41" s="86">
        <v>12.3</v>
      </c>
      <c r="H41" s="553">
        <v>15.2</v>
      </c>
      <c r="I41" s="86">
        <v>13</v>
      </c>
      <c r="J41" s="86" t="s">
        <v>109</v>
      </c>
      <c r="K41" s="3">
        <v>50</v>
      </c>
      <c r="L41" s="86" t="s">
        <v>265</v>
      </c>
      <c r="M41" s="357" t="s">
        <v>266</v>
      </c>
      <c r="N41" s="130" t="s">
        <v>291</v>
      </c>
      <c r="O41" s="130" t="s">
        <v>268</v>
      </c>
      <c r="P41" s="23" t="s">
        <v>269</v>
      </c>
      <c r="Q41" s="563" t="s">
        <v>270</v>
      </c>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row>
    <row r="42" spans="1:95" customFormat="1" ht="15" hidden="1">
      <c r="A42" s="147"/>
      <c r="B42" s="147"/>
      <c r="C42" s="93" t="s">
        <v>290</v>
      </c>
      <c r="D42" s="83" t="s">
        <v>271</v>
      </c>
      <c r="E42" s="86">
        <f>F42*13/11.3</f>
        <v>13.920353982300883</v>
      </c>
      <c r="F42" s="86">
        <v>12.1</v>
      </c>
      <c r="G42" s="86">
        <v>12.3</v>
      </c>
      <c r="H42" s="553">
        <v>16.899999999999999</v>
      </c>
      <c r="I42" s="86">
        <v>13</v>
      </c>
      <c r="J42" s="86" t="s">
        <v>109</v>
      </c>
      <c r="K42" s="3">
        <v>100</v>
      </c>
      <c r="L42" s="86" t="s">
        <v>265</v>
      </c>
      <c r="M42" s="357" t="s">
        <v>266</v>
      </c>
      <c r="N42" s="130" t="s">
        <v>291</v>
      </c>
      <c r="O42" s="130" t="s">
        <v>272</v>
      </c>
      <c r="P42" s="23" t="s">
        <v>269</v>
      </c>
      <c r="Q42" s="563" t="s">
        <v>270</v>
      </c>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row>
    <row r="43" spans="1:95" customFormat="1" ht="15" hidden="1">
      <c r="A43" s="147"/>
      <c r="B43" s="147"/>
      <c r="C43" s="93" t="s">
        <v>290</v>
      </c>
      <c r="D43" s="83" t="s">
        <v>273</v>
      </c>
      <c r="E43" s="86" t="s">
        <v>109</v>
      </c>
      <c r="F43" s="86">
        <v>12.1</v>
      </c>
      <c r="G43" s="86">
        <v>13.9</v>
      </c>
      <c r="H43" s="56" t="s">
        <v>109</v>
      </c>
      <c r="I43" s="839">
        <f t="shared" ref="I43:I46" si="25">ROUND(F43*1.05,1)</f>
        <v>12.7</v>
      </c>
      <c r="J43" s="839">
        <f t="shared" ref="J43:J46" si="26">ROUND(G43*1.05,1)</f>
        <v>14.6</v>
      </c>
      <c r="K43" s="3">
        <v>125</v>
      </c>
      <c r="L43" s="86" t="s">
        <v>265</v>
      </c>
      <c r="M43" s="357" t="s">
        <v>274</v>
      </c>
      <c r="N43" s="130" t="s">
        <v>292</v>
      </c>
      <c r="O43" s="130" t="s">
        <v>276</v>
      </c>
      <c r="P43" s="23" t="s">
        <v>269</v>
      </c>
      <c r="Q43" s="563" t="s">
        <v>270</v>
      </c>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row>
    <row r="44" spans="1:95" customFormat="1" ht="15" hidden="1">
      <c r="A44" s="147"/>
      <c r="B44" s="147"/>
      <c r="C44" s="93" t="s">
        <v>290</v>
      </c>
      <c r="D44" s="83" t="s">
        <v>277</v>
      </c>
      <c r="E44" s="86" t="s">
        <v>109</v>
      </c>
      <c r="F44" s="467">
        <v>12.5</v>
      </c>
      <c r="G44" s="467">
        <v>13.9</v>
      </c>
      <c r="H44" s="56" t="s">
        <v>109</v>
      </c>
      <c r="I44" s="839">
        <f t="shared" si="25"/>
        <v>13.1</v>
      </c>
      <c r="J44" s="839">
        <f t="shared" si="26"/>
        <v>14.6</v>
      </c>
      <c r="K44" s="3">
        <v>125</v>
      </c>
      <c r="L44" s="86" t="s">
        <v>265</v>
      </c>
      <c r="M44" s="357" t="s">
        <v>274</v>
      </c>
      <c r="N44" s="130" t="s">
        <v>293</v>
      </c>
      <c r="O44" s="130" t="s">
        <v>276</v>
      </c>
      <c r="P44" s="23" t="s">
        <v>269</v>
      </c>
      <c r="Q44" s="563" t="s">
        <v>270</v>
      </c>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row>
    <row r="45" spans="1:95" customFormat="1" ht="15" hidden="1">
      <c r="A45" s="147"/>
      <c r="B45" s="147"/>
      <c r="C45" s="93" t="s">
        <v>290</v>
      </c>
      <c r="D45" s="83" t="s">
        <v>279</v>
      </c>
      <c r="E45" s="86" t="s">
        <v>109</v>
      </c>
      <c r="F45" s="86">
        <v>12.4</v>
      </c>
      <c r="G45" s="467">
        <v>13.6</v>
      </c>
      <c r="H45" s="56" t="s">
        <v>109</v>
      </c>
      <c r="I45" s="839">
        <f t="shared" si="25"/>
        <v>13</v>
      </c>
      <c r="J45" s="839">
        <f t="shared" si="26"/>
        <v>14.3</v>
      </c>
      <c r="K45" s="3">
        <v>100</v>
      </c>
      <c r="L45" s="86" t="s">
        <v>265</v>
      </c>
      <c r="M45" s="357" t="s">
        <v>280</v>
      </c>
      <c r="N45" s="130" t="s">
        <v>294</v>
      </c>
      <c r="O45" s="130" t="s">
        <v>282</v>
      </c>
      <c r="P45" s="23" t="s">
        <v>269</v>
      </c>
      <c r="Q45" s="563" t="s">
        <v>270</v>
      </c>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row>
    <row r="46" spans="1:95" customFormat="1" ht="15" hidden="1">
      <c r="A46" s="147"/>
      <c r="B46" s="147"/>
      <c r="C46" s="93" t="s">
        <v>290</v>
      </c>
      <c r="D46" s="83" t="s">
        <v>283</v>
      </c>
      <c r="E46" s="86" t="s">
        <v>109</v>
      </c>
      <c r="F46" s="467">
        <v>12.2</v>
      </c>
      <c r="G46" s="467">
        <v>13.5</v>
      </c>
      <c r="H46" s="56" t="s">
        <v>109</v>
      </c>
      <c r="I46" s="839">
        <f t="shared" si="25"/>
        <v>12.8</v>
      </c>
      <c r="J46" s="839">
        <f t="shared" si="26"/>
        <v>14.2</v>
      </c>
      <c r="K46" s="3">
        <v>100</v>
      </c>
      <c r="L46" s="86" t="s">
        <v>265</v>
      </c>
      <c r="M46" s="357" t="s">
        <v>280</v>
      </c>
      <c r="N46" s="130" t="s">
        <v>295</v>
      </c>
      <c r="O46" s="130" t="s">
        <v>282</v>
      </c>
      <c r="P46" s="23" t="s">
        <v>269</v>
      </c>
      <c r="Q46" s="563" t="s">
        <v>270</v>
      </c>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row>
    <row r="47" spans="1:95" customFormat="1" ht="15" hidden="1">
      <c r="A47" s="147"/>
      <c r="B47" s="147"/>
      <c r="C47" s="93" t="s">
        <v>296</v>
      </c>
      <c r="D47" s="83" t="s">
        <v>264</v>
      </c>
      <c r="E47" s="86">
        <f>F47*13/11.3</f>
        <v>13.920353982300883</v>
      </c>
      <c r="F47" s="86">
        <v>12.1</v>
      </c>
      <c r="G47" s="86">
        <v>12.3</v>
      </c>
      <c r="H47" s="553">
        <v>15.2</v>
      </c>
      <c r="I47" s="86">
        <v>13</v>
      </c>
      <c r="J47" s="86" t="s">
        <v>109</v>
      </c>
      <c r="K47" s="3">
        <v>50</v>
      </c>
      <c r="L47" s="86" t="s">
        <v>265</v>
      </c>
      <c r="M47" s="357" t="s">
        <v>266</v>
      </c>
      <c r="N47" s="130" t="s">
        <v>297</v>
      </c>
      <c r="O47" s="130" t="s">
        <v>268</v>
      </c>
      <c r="P47" s="23" t="s">
        <v>269</v>
      </c>
      <c r="Q47" s="563" t="s">
        <v>270</v>
      </c>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row>
    <row r="48" spans="1:95" customFormat="1" ht="15" hidden="1">
      <c r="A48" s="147"/>
      <c r="B48" s="147"/>
      <c r="C48" s="93" t="s">
        <v>296</v>
      </c>
      <c r="D48" s="83" t="s">
        <v>271</v>
      </c>
      <c r="E48" s="86">
        <f>F48*13/11.3</f>
        <v>13.920353982300883</v>
      </c>
      <c r="F48" s="86">
        <v>12.1</v>
      </c>
      <c r="G48" s="86">
        <v>12.3</v>
      </c>
      <c r="H48" s="553">
        <v>16.899999999999999</v>
      </c>
      <c r="I48" s="86">
        <v>13</v>
      </c>
      <c r="J48" s="86" t="s">
        <v>109</v>
      </c>
      <c r="K48" s="3">
        <v>100</v>
      </c>
      <c r="L48" s="86" t="s">
        <v>265</v>
      </c>
      <c r="M48" s="357" t="s">
        <v>266</v>
      </c>
      <c r="N48" s="130" t="s">
        <v>297</v>
      </c>
      <c r="O48" s="130" t="s">
        <v>272</v>
      </c>
      <c r="P48" s="23" t="s">
        <v>269</v>
      </c>
      <c r="Q48" s="563" t="s">
        <v>270</v>
      </c>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row>
    <row r="49" spans="1:95" customFormat="1" ht="15" hidden="1">
      <c r="A49" s="147"/>
      <c r="B49" s="147"/>
      <c r="C49" s="93" t="s">
        <v>296</v>
      </c>
      <c r="D49" s="83" t="s">
        <v>273</v>
      </c>
      <c r="E49" s="86" t="s">
        <v>109</v>
      </c>
      <c r="F49" s="86">
        <v>12.1</v>
      </c>
      <c r="G49" s="86">
        <v>13.9</v>
      </c>
      <c r="H49" s="56" t="s">
        <v>109</v>
      </c>
      <c r="I49" s="839">
        <f t="shared" ref="I49:I52" si="27">ROUND(F49*1.05,1)</f>
        <v>12.7</v>
      </c>
      <c r="J49" s="839">
        <f t="shared" ref="J49:J52" si="28">ROUND(G49*1.05,1)</f>
        <v>14.6</v>
      </c>
      <c r="K49" s="3">
        <v>125</v>
      </c>
      <c r="L49" s="86" t="s">
        <v>265</v>
      </c>
      <c r="M49" s="357" t="s">
        <v>274</v>
      </c>
      <c r="N49" s="130" t="s">
        <v>298</v>
      </c>
      <c r="O49" s="130" t="s">
        <v>276</v>
      </c>
      <c r="P49" s="23" t="s">
        <v>269</v>
      </c>
      <c r="Q49" s="563" t="s">
        <v>270</v>
      </c>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row>
    <row r="50" spans="1:95" customFormat="1" ht="15" hidden="1">
      <c r="A50" s="147"/>
      <c r="B50" s="147"/>
      <c r="C50" s="93" t="s">
        <v>296</v>
      </c>
      <c r="D50" s="83" t="s">
        <v>277</v>
      </c>
      <c r="E50" s="86" t="s">
        <v>109</v>
      </c>
      <c r="F50" s="467">
        <v>12.5</v>
      </c>
      <c r="G50" s="467">
        <v>13.9</v>
      </c>
      <c r="H50" s="56" t="s">
        <v>109</v>
      </c>
      <c r="I50" s="839">
        <f t="shared" si="27"/>
        <v>13.1</v>
      </c>
      <c r="J50" s="839">
        <f t="shared" si="28"/>
        <v>14.6</v>
      </c>
      <c r="K50" s="3">
        <v>125</v>
      </c>
      <c r="L50" s="86" t="s">
        <v>265</v>
      </c>
      <c r="M50" s="357" t="s">
        <v>274</v>
      </c>
      <c r="N50" s="130" t="s">
        <v>299</v>
      </c>
      <c r="O50" s="130" t="s">
        <v>276</v>
      </c>
      <c r="P50" s="23" t="s">
        <v>269</v>
      </c>
      <c r="Q50" s="563" t="s">
        <v>270</v>
      </c>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row>
    <row r="51" spans="1:95" customFormat="1" ht="15" hidden="1">
      <c r="A51" s="147"/>
      <c r="B51" s="147"/>
      <c r="C51" s="93" t="s">
        <v>296</v>
      </c>
      <c r="D51" s="83" t="s">
        <v>279</v>
      </c>
      <c r="E51" s="86" t="s">
        <v>109</v>
      </c>
      <c r="F51" s="86">
        <v>12.4</v>
      </c>
      <c r="G51" s="467">
        <v>13.6</v>
      </c>
      <c r="H51" s="56" t="s">
        <v>109</v>
      </c>
      <c r="I51" s="839">
        <f t="shared" si="27"/>
        <v>13</v>
      </c>
      <c r="J51" s="839">
        <f t="shared" si="28"/>
        <v>14.3</v>
      </c>
      <c r="K51" s="3">
        <v>100</v>
      </c>
      <c r="L51" s="86" t="s">
        <v>265</v>
      </c>
      <c r="M51" s="357" t="s">
        <v>280</v>
      </c>
      <c r="N51" s="130" t="s">
        <v>300</v>
      </c>
      <c r="O51" s="130" t="s">
        <v>282</v>
      </c>
      <c r="P51" s="23" t="s">
        <v>269</v>
      </c>
      <c r="Q51" s="563" t="s">
        <v>270</v>
      </c>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row>
    <row r="52" spans="1:95" customFormat="1" ht="15" hidden="1">
      <c r="A52" s="147"/>
      <c r="B52" s="147"/>
      <c r="C52" s="93" t="s">
        <v>296</v>
      </c>
      <c r="D52" s="83" t="s">
        <v>283</v>
      </c>
      <c r="E52" s="86" t="s">
        <v>109</v>
      </c>
      <c r="F52" s="467">
        <v>12.2</v>
      </c>
      <c r="G52" s="467">
        <v>13.5</v>
      </c>
      <c r="H52" s="56" t="s">
        <v>109</v>
      </c>
      <c r="I52" s="839">
        <f t="shared" si="27"/>
        <v>12.8</v>
      </c>
      <c r="J52" s="839">
        <f t="shared" si="28"/>
        <v>14.2</v>
      </c>
      <c r="K52" s="3">
        <v>100</v>
      </c>
      <c r="L52" s="86" t="s">
        <v>265</v>
      </c>
      <c r="M52" s="357" t="s">
        <v>280</v>
      </c>
      <c r="N52" s="130" t="s">
        <v>301</v>
      </c>
      <c r="O52" s="130" t="s">
        <v>282</v>
      </c>
      <c r="P52" s="23" t="s">
        <v>269</v>
      </c>
      <c r="Q52" s="563" t="s">
        <v>270</v>
      </c>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row>
    <row r="53" spans="1:95" customFormat="1" ht="15" hidden="1">
      <c r="A53" s="147"/>
      <c r="B53" s="147"/>
      <c r="C53" s="55" t="s">
        <v>302</v>
      </c>
      <c r="D53" s="83" t="s">
        <v>264</v>
      </c>
      <c r="E53" s="86">
        <f>F47*13/11.3</f>
        <v>13.920353982300883</v>
      </c>
      <c r="F53" s="86">
        <v>12.1</v>
      </c>
      <c r="G53" s="86">
        <v>12.3</v>
      </c>
      <c r="H53" s="553">
        <v>15.2</v>
      </c>
      <c r="I53" s="86">
        <v>13</v>
      </c>
      <c r="J53" s="86" t="s">
        <v>109</v>
      </c>
      <c r="K53" s="3">
        <v>50</v>
      </c>
      <c r="L53" s="86" t="s">
        <v>265</v>
      </c>
      <c r="M53" s="357" t="s">
        <v>266</v>
      </c>
      <c r="N53" s="130" t="s">
        <v>303</v>
      </c>
      <c r="O53" s="130" t="s">
        <v>268</v>
      </c>
      <c r="P53" s="23" t="s">
        <v>269</v>
      </c>
      <c r="Q53" s="563" t="s">
        <v>270</v>
      </c>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row>
    <row r="54" spans="1:95" customFormat="1" ht="15" hidden="1">
      <c r="A54" s="147"/>
      <c r="B54" s="147"/>
      <c r="C54" s="55" t="s">
        <v>302</v>
      </c>
      <c r="D54" s="83" t="s">
        <v>271</v>
      </c>
      <c r="E54" s="86">
        <f>F47*13/11.3</f>
        <v>13.920353982300883</v>
      </c>
      <c r="F54" s="86">
        <v>12.1</v>
      </c>
      <c r="G54" s="86">
        <v>12.3</v>
      </c>
      <c r="H54" s="553">
        <v>16.899999999999999</v>
      </c>
      <c r="I54" s="86">
        <v>13</v>
      </c>
      <c r="J54" s="86" t="s">
        <v>109</v>
      </c>
      <c r="K54" s="3">
        <v>100</v>
      </c>
      <c r="L54" s="86" t="s">
        <v>265</v>
      </c>
      <c r="M54" s="357" t="s">
        <v>266</v>
      </c>
      <c r="N54" s="130" t="s">
        <v>303</v>
      </c>
      <c r="O54" s="130" t="s">
        <v>272</v>
      </c>
      <c r="P54" s="23" t="s">
        <v>269</v>
      </c>
      <c r="Q54" s="563" t="s">
        <v>270</v>
      </c>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row>
    <row r="55" spans="1:95" customFormat="1" ht="15" hidden="1">
      <c r="A55" s="147"/>
      <c r="B55" s="147"/>
      <c r="C55" s="55" t="s">
        <v>302</v>
      </c>
      <c r="D55" s="1" t="s">
        <v>273</v>
      </c>
      <c r="E55" s="86" t="s">
        <v>109</v>
      </c>
      <c r="F55" s="86">
        <v>12.1</v>
      </c>
      <c r="G55" s="86">
        <v>12.3</v>
      </c>
      <c r="H55" s="56" t="s">
        <v>109</v>
      </c>
      <c r="I55" s="839">
        <f t="shared" ref="I55:I58" si="29">ROUND(F55*1.05,1)</f>
        <v>12.7</v>
      </c>
      <c r="J55" s="839">
        <f t="shared" ref="J55:J58" si="30">ROUND(G55*1.05,1)</f>
        <v>12.9</v>
      </c>
      <c r="K55" s="3">
        <v>125</v>
      </c>
      <c r="L55" s="86" t="s">
        <v>265</v>
      </c>
      <c r="M55" s="357" t="s">
        <v>274</v>
      </c>
      <c r="N55" s="130" t="s">
        <v>304</v>
      </c>
      <c r="O55" s="130" t="s">
        <v>276</v>
      </c>
      <c r="P55" s="23" t="s">
        <v>269</v>
      </c>
      <c r="Q55" s="563" t="s">
        <v>270</v>
      </c>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row>
    <row r="56" spans="1:95" customFormat="1" ht="15" hidden="1">
      <c r="A56" s="147"/>
      <c r="B56" s="147"/>
      <c r="C56" s="55" t="s">
        <v>302</v>
      </c>
      <c r="D56" s="1" t="s">
        <v>277</v>
      </c>
      <c r="E56" s="86" t="s">
        <v>109</v>
      </c>
      <c r="F56" s="86">
        <v>12</v>
      </c>
      <c r="G56" s="86">
        <v>12.2</v>
      </c>
      <c r="H56" s="56" t="s">
        <v>109</v>
      </c>
      <c r="I56" s="839">
        <f t="shared" si="29"/>
        <v>12.6</v>
      </c>
      <c r="J56" s="839">
        <f t="shared" si="30"/>
        <v>12.8</v>
      </c>
      <c r="K56" s="3">
        <v>125</v>
      </c>
      <c r="L56" s="86" t="s">
        <v>265</v>
      </c>
      <c r="M56" s="357" t="s">
        <v>274</v>
      </c>
      <c r="N56" s="130" t="s">
        <v>305</v>
      </c>
      <c r="O56" s="130" t="s">
        <v>276</v>
      </c>
      <c r="P56" s="23" t="s">
        <v>269</v>
      </c>
      <c r="Q56" s="563" t="s">
        <v>270</v>
      </c>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row>
    <row r="57" spans="1:95" customFormat="1" ht="15" hidden="1">
      <c r="A57" s="147"/>
      <c r="B57" s="147"/>
      <c r="C57" s="55" t="s">
        <v>302</v>
      </c>
      <c r="D57" s="1" t="s">
        <v>279</v>
      </c>
      <c r="E57" s="86" t="s">
        <v>109</v>
      </c>
      <c r="F57" s="86">
        <v>11.9</v>
      </c>
      <c r="G57" s="86">
        <v>12.1</v>
      </c>
      <c r="H57" s="56" t="s">
        <v>109</v>
      </c>
      <c r="I57" s="839">
        <f t="shared" si="29"/>
        <v>12.5</v>
      </c>
      <c r="J57" s="839">
        <f t="shared" si="30"/>
        <v>12.7</v>
      </c>
      <c r="K57" s="3">
        <v>100</v>
      </c>
      <c r="L57" s="86" t="s">
        <v>265</v>
      </c>
      <c r="M57" s="357" t="s">
        <v>280</v>
      </c>
      <c r="N57" s="130" t="s">
        <v>306</v>
      </c>
      <c r="O57" s="130" t="s">
        <v>282</v>
      </c>
      <c r="P57" s="23" t="s">
        <v>269</v>
      </c>
      <c r="Q57" s="563" t="s">
        <v>270</v>
      </c>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row>
    <row r="58" spans="1:95" customFormat="1" ht="15" hidden="1">
      <c r="A58" s="147"/>
      <c r="B58" s="147"/>
      <c r="C58" s="55" t="s">
        <v>302</v>
      </c>
      <c r="D58" s="1" t="s">
        <v>283</v>
      </c>
      <c r="E58" s="86" t="s">
        <v>109</v>
      </c>
      <c r="F58" s="467">
        <v>11.7</v>
      </c>
      <c r="G58" s="467">
        <v>11.9</v>
      </c>
      <c r="H58" s="56" t="s">
        <v>109</v>
      </c>
      <c r="I58" s="839">
        <f t="shared" si="29"/>
        <v>12.3</v>
      </c>
      <c r="J58" s="839">
        <f t="shared" si="30"/>
        <v>12.5</v>
      </c>
      <c r="K58" s="3">
        <v>100</v>
      </c>
      <c r="L58" s="86" t="s">
        <v>265</v>
      </c>
      <c r="M58" s="357" t="s">
        <v>280</v>
      </c>
      <c r="N58" s="130" t="s">
        <v>307</v>
      </c>
      <c r="O58" s="130" t="s">
        <v>282</v>
      </c>
      <c r="P58" s="23" t="s">
        <v>269</v>
      </c>
      <c r="Q58" s="563" t="s">
        <v>270</v>
      </c>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row>
    <row r="59" spans="1:95" customFormat="1" ht="15" hidden="1">
      <c r="A59" s="147"/>
      <c r="B59" s="147"/>
      <c r="C59" s="55" t="s">
        <v>308</v>
      </c>
      <c r="D59" s="83" t="s">
        <v>264</v>
      </c>
      <c r="E59" s="86">
        <f>F47*13/11.3</f>
        <v>13.920353982300883</v>
      </c>
      <c r="F59" s="86">
        <v>12.1</v>
      </c>
      <c r="G59" s="86">
        <v>12.3</v>
      </c>
      <c r="H59" s="553">
        <v>15.2</v>
      </c>
      <c r="I59" s="86">
        <v>13</v>
      </c>
      <c r="J59" s="86" t="s">
        <v>109</v>
      </c>
      <c r="K59" s="3">
        <v>50</v>
      </c>
      <c r="L59" s="86" t="s">
        <v>265</v>
      </c>
      <c r="M59" s="357" t="s">
        <v>266</v>
      </c>
      <c r="N59" s="130" t="s">
        <v>309</v>
      </c>
      <c r="O59" s="130" t="s">
        <v>268</v>
      </c>
      <c r="P59" s="23" t="s">
        <v>269</v>
      </c>
      <c r="Q59" s="563" t="s">
        <v>270</v>
      </c>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row>
    <row r="60" spans="1:95" customFormat="1" ht="15" hidden="1">
      <c r="A60" s="147"/>
      <c r="B60" s="147"/>
      <c r="C60" s="55" t="s">
        <v>308</v>
      </c>
      <c r="D60" s="83" t="s">
        <v>271</v>
      </c>
      <c r="E60" s="86">
        <f>F47*13/11.3</f>
        <v>13.920353982300883</v>
      </c>
      <c r="F60" s="86">
        <v>12.1</v>
      </c>
      <c r="G60" s="86">
        <v>12.3</v>
      </c>
      <c r="H60" s="553">
        <v>16.899999999999999</v>
      </c>
      <c r="I60" s="86">
        <v>13</v>
      </c>
      <c r="J60" s="86" t="s">
        <v>109</v>
      </c>
      <c r="K60" s="3">
        <v>100</v>
      </c>
      <c r="L60" s="86" t="s">
        <v>265</v>
      </c>
      <c r="M60" s="357" t="s">
        <v>266</v>
      </c>
      <c r="N60" s="130" t="s">
        <v>309</v>
      </c>
      <c r="O60" s="130" t="s">
        <v>272</v>
      </c>
      <c r="P60" s="23" t="s">
        <v>269</v>
      </c>
      <c r="Q60" s="563" t="s">
        <v>270</v>
      </c>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row>
    <row r="61" spans="1:95" customFormat="1" ht="15" hidden="1">
      <c r="A61" s="147"/>
      <c r="B61" s="147"/>
      <c r="C61" s="55" t="s">
        <v>308</v>
      </c>
      <c r="D61" s="1" t="s">
        <v>273</v>
      </c>
      <c r="E61" s="86" t="s">
        <v>109</v>
      </c>
      <c r="F61" s="86">
        <v>12.1</v>
      </c>
      <c r="G61" s="86">
        <v>12.3</v>
      </c>
      <c r="H61" s="56" t="s">
        <v>109</v>
      </c>
      <c r="I61" s="839">
        <f t="shared" ref="I61:I64" si="31">ROUND(F61*1.05,1)</f>
        <v>12.7</v>
      </c>
      <c r="J61" s="839">
        <f t="shared" ref="J61:J64" si="32">ROUND(G61*1.05,1)</f>
        <v>12.9</v>
      </c>
      <c r="K61" s="3">
        <v>125</v>
      </c>
      <c r="L61" s="86" t="s">
        <v>265</v>
      </c>
      <c r="M61" s="357" t="s">
        <v>274</v>
      </c>
      <c r="N61" s="130" t="s">
        <v>310</v>
      </c>
      <c r="O61" s="130" t="s">
        <v>276</v>
      </c>
      <c r="P61" s="23" t="s">
        <v>269</v>
      </c>
      <c r="Q61" s="563" t="s">
        <v>270</v>
      </c>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row>
    <row r="62" spans="1:95" customFormat="1" ht="15" hidden="1">
      <c r="A62" s="147"/>
      <c r="B62" s="147"/>
      <c r="C62" s="55" t="s">
        <v>308</v>
      </c>
      <c r="D62" s="1" t="s">
        <v>277</v>
      </c>
      <c r="E62" s="86" t="s">
        <v>109</v>
      </c>
      <c r="F62" s="86">
        <v>12</v>
      </c>
      <c r="G62" s="86">
        <v>12.2</v>
      </c>
      <c r="H62" s="56" t="s">
        <v>109</v>
      </c>
      <c r="I62" s="839">
        <f t="shared" si="31"/>
        <v>12.6</v>
      </c>
      <c r="J62" s="839">
        <f t="shared" si="32"/>
        <v>12.8</v>
      </c>
      <c r="K62" s="3">
        <v>125</v>
      </c>
      <c r="L62" s="86" t="s">
        <v>265</v>
      </c>
      <c r="M62" s="357" t="s">
        <v>274</v>
      </c>
      <c r="N62" s="130" t="s">
        <v>311</v>
      </c>
      <c r="O62" s="130" t="s">
        <v>276</v>
      </c>
      <c r="P62" s="23" t="s">
        <v>269</v>
      </c>
      <c r="Q62" s="563" t="s">
        <v>270</v>
      </c>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row>
    <row r="63" spans="1:95" customFormat="1" ht="15" hidden="1">
      <c r="A63" s="147"/>
      <c r="B63" s="147"/>
      <c r="C63" s="55" t="s">
        <v>308</v>
      </c>
      <c r="D63" s="1" t="s">
        <v>279</v>
      </c>
      <c r="E63" s="86" t="s">
        <v>109</v>
      </c>
      <c r="F63" s="86">
        <v>11.9</v>
      </c>
      <c r="G63" s="86">
        <v>12.1</v>
      </c>
      <c r="H63" s="56" t="s">
        <v>109</v>
      </c>
      <c r="I63" s="839">
        <f t="shared" si="31"/>
        <v>12.5</v>
      </c>
      <c r="J63" s="839">
        <f t="shared" si="32"/>
        <v>12.7</v>
      </c>
      <c r="K63" s="3">
        <v>100</v>
      </c>
      <c r="L63" s="86" t="s">
        <v>265</v>
      </c>
      <c r="M63" s="357" t="s">
        <v>280</v>
      </c>
      <c r="N63" s="130" t="s">
        <v>312</v>
      </c>
      <c r="O63" s="130" t="s">
        <v>282</v>
      </c>
      <c r="P63" s="23" t="s">
        <v>269</v>
      </c>
      <c r="Q63" s="563" t="s">
        <v>270</v>
      </c>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row>
    <row r="64" spans="1:95" customFormat="1" ht="15" hidden="1">
      <c r="A64" s="147"/>
      <c r="B64" s="147"/>
      <c r="C64" s="55" t="s">
        <v>308</v>
      </c>
      <c r="D64" s="1" t="s">
        <v>283</v>
      </c>
      <c r="E64" s="86" t="s">
        <v>109</v>
      </c>
      <c r="F64" s="467">
        <v>11.7</v>
      </c>
      <c r="G64" s="467">
        <v>11.9</v>
      </c>
      <c r="H64" s="56" t="s">
        <v>109</v>
      </c>
      <c r="I64" s="839">
        <f t="shared" si="31"/>
        <v>12.3</v>
      </c>
      <c r="J64" s="839">
        <f t="shared" si="32"/>
        <v>12.5</v>
      </c>
      <c r="K64" s="3">
        <v>100</v>
      </c>
      <c r="L64" s="86" t="s">
        <v>265</v>
      </c>
      <c r="M64" s="357" t="s">
        <v>280</v>
      </c>
      <c r="N64" s="130" t="s">
        <v>313</v>
      </c>
      <c r="O64" s="130" t="s">
        <v>282</v>
      </c>
      <c r="P64" s="23" t="s">
        <v>269</v>
      </c>
      <c r="Q64" s="563" t="s">
        <v>270</v>
      </c>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row>
    <row r="65" spans="1:95" customFormat="1" ht="15" hidden="1">
      <c r="A65" s="147"/>
      <c r="B65" s="147"/>
      <c r="C65" s="93" t="s">
        <v>245</v>
      </c>
      <c r="D65" s="83" t="s">
        <v>264</v>
      </c>
      <c r="E65" s="601">
        <v>13</v>
      </c>
      <c r="F65" s="601">
        <f>E65*(11.3/13)</f>
        <v>11.3</v>
      </c>
      <c r="G65" s="22"/>
      <c r="H65" s="553">
        <v>15.2</v>
      </c>
      <c r="I65" s="56">
        <v>13</v>
      </c>
      <c r="J65" s="56" t="s">
        <v>109</v>
      </c>
      <c r="K65" s="3">
        <v>50</v>
      </c>
      <c r="L65" s="86" t="s">
        <v>265</v>
      </c>
      <c r="M65" s="357" t="s">
        <v>266</v>
      </c>
      <c r="N65" s="130" t="s">
        <v>267</v>
      </c>
      <c r="O65" s="130" t="s">
        <v>268</v>
      </c>
      <c r="P65" s="23" t="s">
        <v>241</v>
      </c>
      <c r="Q65" s="563" t="s">
        <v>270</v>
      </c>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row>
    <row r="66" spans="1:95" customFormat="1" ht="60" hidden="1">
      <c r="A66" s="147"/>
      <c r="B66" s="147"/>
      <c r="C66" s="93" t="s">
        <v>245</v>
      </c>
      <c r="D66" s="83" t="s">
        <v>271</v>
      </c>
      <c r="E66" s="601">
        <v>13</v>
      </c>
      <c r="F66" s="601">
        <f>E66*(11.3/13)</f>
        <v>11.3</v>
      </c>
      <c r="G66" s="22"/>
      <c r="H66" s="553">
        <v>16.899999999999999</v>
      </c>
      <c r="I66" s="56">
        <v>13</v>
      </c>
      <c r="J66" s="56" t="s">
        <v>109</v>
      </c>
      <c r="K66" s="3">
        <v>100</v>
      </c>
      <c r="L66" s="86" t="s">
        <v>265</v>
      </c>
      <c r="M66" s="357" t="s">
        <v>266</v>
      </c>
      <c r="N66" s="130" t="s">
        <v>267</v>
      </c>
      <c r="O66" s="130" t="s">
        <v>272</v>
      </c>
      <c r="P66" s="23" t="s">
        <v>241</v>
      </c>
      <c r="Q66" s="563" t="s">
        <v>270</v>
      </c>
      <c r="R66" s="11"/>
      <c r="S66" s="378" t="s">
        <v>314</v>
      </c>
      <c r="T66" s="378" t="s">
        <v>315</v>
      </c>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row>
    <row r="67" spans="1:95" customFormat="1" ht="15" hidden="1">
      <c r="A67" s="147"/>
      <c r="B67" s="147"/>
      <c r="C67" s="93" t="s">
        <v>245</v>
      </c>
      <c r="D67" s="83" t="s">
        <v>273</v>
      </c>
      <c r="E67" s="86" t="s">
        <v>109</v>
      </c>
      <c r="F67" s="602">
        <f>F31-0.2</f>
        <v>11.5</v>
      </c>
      <c r="G67" s="602">
        <v>14.6</v>
      </c>
      <c r="H67" s="56" t="s">
        <v>109</v>
      </c>
      <c r="I67" s="839">
        <f t="shared" ref="I67:I70" si="33">ROUND(F67*1.05,1)</f>
        <v>12.1</v>
      </c>
      <c r="J67" s="839">
        <f t="shared" ref="J67:J70" si="34">ROUND(G67*1.05,1)</f>
        <v>15.3</v>
      </c>
      <c r="K67" s="3">
        <v>125</v>
      </c>
      <c r="L67" s="86" t="s">
        <v>265</v>
      </c>
      <c r="M67" s="357" t="s">
        <v>274</v>
      </c>
      <c r="N67" s="130" t="s">
        <v>275</v>
      </c>
      <c r="O67" s="130" t="s">
        <v>276</v>
      </c>
      <c r="P67" s="23" t="s">
        <v>241</v>
      </c>
      <c r="Q67" s="563" t="s">
        <v>270</v>
      </c>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row>
    <row r="68" spans="1:95" customFormat="1" ht="15" hidden="1">
      <c r="A68" s="147"/>
      <c r="B68" s="147"/>
      <c r="C68" s="93" t="s">
        <v>245</v>
      </c>
      <c r="D68" s="83" t="s">
        <v>277</v>
      </c>
      <c r="E68" s="86" t="s">
        <v>109</v>
      </c>
      <c r="F68" s="602">
        <v>11.2</v>
      </c>
      <c r="G68" s="602">
        <v>14</v>
      </c>
      <c r="H68" s="56" t="s">
        <v>109</v>
      </c>
      <c r="I68" s="839">
        <f t="shared" si="33"/>
        <v>11.8</v>
      </c>
      <c r="J68" s="839">
        <f t="shared" si="34"/>
        <v>14.7</v>
      </c>
      <c r="K68" s="3">
        <v>125</v>
      </c>
      <c r="L68" s="86" t="s">
        <v>265</v>
      </c>
      <c r="M68" s="357" t="s">
        <v>274</v>
      </c>
      <c r="N68" s="130" t="s">
        <v>278</v>
      </c>
      <c r="O68" s="130" t="s">
        <v>276</v>
      </c>
      <c r="P68" s="23" t="s">
        <v>241</v>
      </c>
      <c r="Q68" s="563" t="s">
        <v>270</v>
      </c>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row>
    <row r="69" spans="1:95" customFormat="1" ht="15" hidden="1">
      <c r="A69" s="147"/>
      <c r="B69" s="147"/>
      <c r="C69" s="93" t="s">
        <v>245</v>
      </c>
      <c r="D69" s="83" t="s">
        <v>279</v>
      </c>
      <c r="E69" s="86" t="s">
        <v>109</v>
      </c>
      <c r="F69" s="602">
        <v>10.199999999999999</v>
      </c>
      <c r="G69" s="602">
        <v>13</v>
      </c>
      <c r="H69" s="56" t="s">
        <v>109</v>
      </c>
      <c r="I69" s="839">
        <f t="shared" si="33"/>
        <v>10.7</v>
      </c>
      <c r="J69" s="839">
        <f t="shared" si="34"/>
        <v>13.7</v>
      </c>
      <c r="K69" s="3">
        <v>100</v>
      </c>
      <c r="L69" s="86" t="s">
        <v>265</v>
      </c>
      <c r="M69" s="357" t="s">
        <v>280</v>
      </c>
      <c r="N69" s="130" t="s">
        <v>281</v>
      </c>
      <c r="O69" s="130" t="s">
        <v>282</v>
      </c>
      <c r="P69" s="23" t="s">
        <v>241</v>
      </c>
      <c r="Q69" s="563" t="s">
        <v>270</v>
      </c>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row>
    <row r="70" spans="1:95" customFormat="1" ht="15" hidden="1">
      <c r="A70" s="147"/>
      <c r="B70" s="147"/>
      <c r="C70" s="93" t="s">
        <v>245</v>
      </c>
      <c r="D70" s="83" t="s">
        <v>283</v>
      </c>
      <c r="E70" s="86" t="s">
        <v>109</v>
      </c>
      <c r="F70" s="272">
        <v>9.5</v>
      </c>
      <c r="G70" s="272">
        <v>11</v>
      </c>
      <c r="H70" s="56" t="s">
        <v>109</v>
      </c>
      <c r="I70" s="839">
        <f t="shared" si="33"/>
        <v>10</v>
      </c>
      <c r="J70" s="839">
        <f t="shared" si="34"/>
        <v>11.6</v>
      </c>
      <c r="K70" s="3">
        <v>100</v>
      </c>
      <c r="L70" s="86" t="s">
        <v>265</v>
      </c>
      <c r="M70" s="357" t="s">
        <v>280</v>
      </c>
      <c r="N70" s="130" t="s">
        <v>284</v>
      </c>
      <c r="O70" s="130" t="s">
        <v>282</v>
      </c>
      <c r="P70" s="23" t="s">
        <v>241</v>
      </c>
      <c r="Q70" s="563" t="s">
        <v>270</v>
      </c>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row>
    <row r="71" spans="1:95" customFormat="1" ht="15" hidden="1">
      <c r="A71" s="147"/>
      <c r="B71" s="147"/>
      <c r="C71" s="93" t="s">
        <v>240</v>
      </c>
      <c r="D71" s="83" t="s">
        <v>264</v>
      </c>
      <c r="E71" s="601">
        <v>14</v>
      </c>
      <c r="F71" s="601">
        <f t="shared" ref="F71:F72" si="35">E71*(11.3/13)</f>
        <v>12.169230769230769</v>
      </c>
      <c r="G71" s="22"/>
      <c r="H71" s="553">
        <v>15.2</v>
      </c>
      <c r="I71" s="56">
        <v>13</v>
      </c>
      <c r="J71" s="56" t="s">
        <v>109</v>
      </c>
      <c r="K71" s="3">
        <v>50</v>
      </c>
      <c r="L71" s="86" t="s">
        <v>265</v>
      </c>
      <c r="M71" s="357" t="s">
        <v>266</v>
      </c>
      <c r="N71" s="130" t="s">
        <v>285</v>
      </c>
      <c r="O71" s="130" t="s">
        <v>268</v>
      </c>
      <c r="P71" s="23" t="s">
        <v>241</v>
      </c>
      <c r="Q71" s="563" t="s">
        <v>270</v>
      </c>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row>
    <row r="72" spans="1:95" customFormat="1" ht="15" hidden="1">
      <c r="A72" s="147"/>
      <c r="B72" s="147"/>
      <c r="C72" s="93" t="s">
        <v>240</v>
      </c>
      <c r="D72" s="83" t="s">
        <v>271</v>
      </c>
      <c r="E72" s="601">
        <v>14</v>
      </c>
      <c r="F72" s="601">
        <f t="shared" si="35"/>
        <v>12.169230769230769</v>
      </c>
      <c r="G72" s="22"/>
      <c r="H72" s="553">
        <v>16.899999999999999</v>
      </c>
      <c r="I72" s="56">
        <v>13</v>
      </c>
      <c r="J72" s="56" t="s">
        <v>109</v>
      </c>
      <c r="K72" s="3">
        <v>100</v>
      </c>
      <c r="L72" s="86" t="s">
        <v>265</v>
      </c>
      <c r="M72" s="357" t="s">
        <v>266</v>
      </c>
      <c r="N72" s="130" t="s">
        <v>285</v>
      </c>
      <c r="O72" s="130" t="s">
        <v>272</v>
      </c>
      <c r="P72" s="23" t="s">
        <v>241</v>
      </c>
      <c r="Q72" s="563" t="s">
        <v>270</v>
      </c>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row>
    <row r="73" spans="1:95" customFormat="1" ht="15" hidden="1">
      <c r="A73" s="147"/>
      <c r="B73" s="147"/>
      <c r="C73" s="93" t="s">
        <v>240</v>
      </c>
      <c r="D73" s="83" t="s">
        <v>273</v>
      </c>
      <c r="E73" s="86" t="s">
        <v>109</v>
      </c>
      <c r="F73" s="602">
        <f>F37-0.2</f>
        <v>11.5</v>
      </c>
      <c r="G73" s="602">
        <f>G37-0.2</f>
        <v>14.600000000000001</v>
      </c>
      <c r="H73" s="56" t="s">
        <v>109</v>
      </c>
      <c r="I73" s="839">
        <f t="shared" ref="I73:I76" si="36">ROUND(F73*1.05,1)</f>
        <v>12.1</v>
      </c>
      <c r="J73" s="839">
        <f t="shared" ref="J73:J76" si="37">ROUND(G73*1.05,1)</f>
        <v>15.3</v>
      </c>
      <c r="K73" s="3">
        <v>125</v>
      </c>
      <c r="L73" s="86" t="s">
        <v>265</v>
      </c>
      <c r="M73" s="357" t="s">
        <v>274</v>
      </c>
      <c r="N73" s="130" t="s">
        <v>286</v>
      </c>
      <c r="O73" s="130" t="s">
        <v>276</v>
      </c>
      <c r="P73" s="23" t="s">
        <v>241</v>
      </c>
      <c r="Q73" s="563" t="s">
        <v>270</v>
      </c>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row>
    <row r="74" spans="1:95" customFormat="1" ht="15" hidden="1">
      <c r="A74" s="147"/>
      <c r="B74" s="147"/>
      <c r="C74" s="93" t="s">
        <v>240</v>
      </c>
      <c r="D74" s="83" t="s">
        <v>277</v>
      </c>
      <c r="E74" s="86" t="s">
        <v>109</v>
      </c>
      <c r="F74" s="602">
        <v>11.2</v>
      </c>
      <c r="G74" s="602">
        <v>14</v>
      </c>
      <c r="H74" s="56" t="s">
        <v>109</v>
      </c>
      <c r="I74" s="839">
        <f t="shared" si="36"/>
        <v>11.8</v>
      </c>
      <c r="J74" s="839">
        <f t="shared" si="37"/>
        <v>14.7</v>
      </c>
      <c r="K74" s="3">
        <v>125</v>
      </c>
      <c r="L74" s="86" t="s">
        <v>265</v>
      </c>
      <c r="M74" s="357" t="s">
        <v>274</v>
      </c>
      <c r="N74" s="130" t="s">
        <v>287</v>
      </c>
      <c r="O74" s="130" t="s">
        <v>276</v>
      </c>
      <c r="P74" s="23" t="s">
        <v>241</v>
      </c>
      <c r="Q74" s="563" t="s">
        <v>270</v>
      </c>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row>
    <row r="75" spans="1:95" customFormat="1" ht="15" hidden="1">
      <c r="A75" s="147"/>
      <c r="B75" s="147"/>
      <c r="C75" s="93" t="s">
        <v>240</v>
      </c>
      <c r="D75" s="83" t="s">
        <v>279</v>
      </c>
      <c r="E75" s="86" t="s">
        <v>109</v>
      </c>
      <c r="F75" s="602">
        <v>10.199999999999999</v>
      </c>
      <c r="G75" s="602">
        <v>13</v>
      </c>
      <c r="H75" s="56" t="s">
        <v>109</v>
      </c>
      <c r="I75" s="839">
        <f t="shared" si="36"/>
        <v>10.7</v>
      </c>
      <c r="J75" s="839">
        <f t="shared" si="37"/>
        <v>13.7</v>
      </c>
      <c r="K75" s="3">
        <v>100</v>
      </c>
      <c r="L75" s="86" t="s">
        <v>265</v>
      </c>
      <c r="M75" s="357" t="s">
        <v>280</v>
      </c>
      <c r="N75" s="130" t="s">
        <v>288</v>
      </c>
      <c r="O75" s="130" t="s">
        <v>282</v>
      </c>
      <c r="P75" s="23" t="s">
        <v>241</v>
      </c>
      <c r="Q75" s="563" t="s">
        <v>270</v>
      </c>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row>
    <row r="76" spans="1:95" customFormat="1" ht="15" hidden="1">
      <c r="A76" s="147"/>
      <c r="B76" s="147"/>
      <c r="C76" s="93" t="s">
        <v>240</v>
      </c>
      <c r="D76" s="83" t="s">
        <v>283</v>
      </c>
      <c r="E76" s="86" t="s">
        <v>109</v>
      </c>
      <c r="F76" s="272">
        <v>9.5</v>
      </c>
      <c r="G76" s="272">
        <v>11</v>
      </c>
      <c r="H76" s="56" t="s">
        <v>109</v>
      </c>
      <c r="I76" s="839">
        <f t="shared" si="36"/>
        <v>10</v>
      </c>
      <c r="J76" s="839">
        <f t="shared" si="37"/>
        <v>11.6</v>
      </c>
      <c r="K76" s="3">
        <v>100</v>
      </c>
      <c r="L76" s="86" t="s">
        <v>265</v>
      </c>
      <c r="M76" s="357" t="s">
        <v>280</v>
      </c>
      <c r="N76" s="130" t="s">
        <v>289</v>
      </c>
      <c r="O76" s="130" t="s">
        <v>282</v>
      </c>
      <c r="P76" s="23" t="s">
        <v>241</v>
      </c>
      <c r="Q76" s="563" t="s">
        <v>270</v>
      </c>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row>
    <row r="77" spans="1:95" customFormat="1" ht="15" hidden="1">
      <c r="A77" s="147"/>
      <c r="B77" s="147"/>
      <c r="C77" s="93" t="s">
        <v>290</v>
      </c>
      <c r="D77" s="83" t="s">
        <v>264</v>
      </c>
      <c r="E77" s="86">
        <f>F77*13/11.3</f>
        <v>13.920353982300883</v>
      </c>
      <c r="F77" s="272">
        <v>12.1</v>
      </c>
      <c r="G77" s="272">
        <v>12.3</v>
      </c>
      <c r="H77" s="553">
        <v>15.2</v>
      </c>
      <c r="I77" s="86">
        <v>13</v>
      </c>
      <c r="J77" s="86" t="s">
        <v>109</v>
      </c>
      <c r="K77" s="3">
        <v>50</v>
      </c>
      <c r="L77" s="86" t="s">
        <v>265</v>
      </c>
      <c r="M77" s="357" t="s">
        <v>266</v>
      </c>
      <c r="N77" s="130" t="s">
        <v>291</v>
      </c>
      <c r="O77" s="130" t="s">
        <v>268</v>
      </c>
      <c r="P77" s="23" t="s">
        <v>241</v>
      </c>
      <c r="Q77" s="563" t="s">
        <v>270</v>
      </c>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row>
    <row r="78" spans="1:95" customFormat="1" ht="15" hidden="1">
      <c r="A78" s="147"/>
      <c r="B78" s="147"/>
      <c r="C78" s="93" t="s">
        <v>290</v>
      </c>
      <c r="D78" s="83" t="s">
        <v>271</v>
      </c>
      <c r="E78" s="86">
        <f>F78*13/11.3</f>
        <v>13.920353982300883</v>
      </c>
      <c r="F78" s="272">
        <v>12.1</v>
      </c>
      <c r="G78" s="272">
        <v>12.3</v>
      </c>
      <c r="H78" s="553">
        <v>16.899999999999999</v>
      </c>
      <c r="I78" s="86">
        <v>13</v>
      </c>
      <c r="J78" s="86" t="s">
        <v>109</v>
      </c>
      <c r="K78" s="3">
        <v>100</v>
      </c>
      <c r="L78" s="86" t="s">
        <v>265</v>
      </c>
      <c r="M78" s="357" t="s">
        <v>266</v>
      </c>
      <c r="N78" s="130" t="s">
        <v>291</v>
      </c>
      <c r="O78" s="130" t="s">
        <v>272</v>
      </c>
      <c r="P78" s="23" t="s">
        <v>241</v>
      </c>
      <c r="Q78" s="563" t="s">
        <v>270</v>
      </c>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row>
    <row r="79" spans="1:95" customFormat="1" ht="15" hidden="1">
      <c r="A79" s="147"/>
      <c r="B79" s="147"/>
      <c r="C79" s="93" t="s">
        <v>290</v>
      </c>
      <c r="D79" s="83" t="s">
        <v>273</v>
      </c>
      <c r="E79" s="86" t="s">
        <v>109</v>
      </c>
      <c r="F79" s="272">
        <v>11.9</v>
      </c>
      <c r="G79" s="272">
        <v>13.7</v>
      </c>
      <c r="H79" s="56" t="s">
        <v>109</v>
      </c>
      <c r="I79" s="839">
        <f t="shared" ref="I79:I82" si="38">ROUND(F79*1.05,1)</f>
        <v>12.5</v>
      </c>
      <c r="J79" s="839">
        <f t="shared" ref="J79:J82" si="39">ROUND(G79*1.05,1)</f>
        <v>14.4</v>
      </c>
      <c r="K79" s="3">
        <v>125</v>
      </c>
      <c r="L79" s="86" t="s">
        <v>265</v>
      </c>
      <c r="M79" s="357" t="s">
        <v>274</v>
      </c>
      <c r="N79" s="130" t="s">
        <v>292</v>
      </c>
      <c r="O79" s="130" t="s">
        <v>276</v>
      </c>
      <c r="P79" s="23" t="s">
        <v>241</v>
      </c>
      <c r="Q79" s="563" t="s">
        <v>270</v>
      </c>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row>
    <row r="80" spans="1:95" customFormat="1" ht="15" hidden="1">
      <c r="A80" s="147"/>
      <c r="B80" s="147"/>
      <c r="C80" s="93" t="s">
        <v>290</v>
      </c>
      <c r="D80" s="83" t="s">
        <v>277</v>
      </c>
      <c r="E80" s="86" t="s">
        <v>109</v>
      </c>
      <c r="F80" s="272">
        <v>12.3</v>
      </c>
      <c r="G80" s="272">
        <v>13.7</v>
      </c>
      <c r="H80" s="56" t="s">
        <v>109</v>
      </c>
      <c r="I80" s="839">
        <f t="shared" si="38"/>
        <v>12.9</v>
      </c>
      <c r="J80" s="839">
        <f t="shared" si="39"/>
        <v>14.4</v>
      </c>
      <c r="K80" s="3">
        <v>125</v>
      </c>
      <c r="L80" s="86" t="s">
        <v>265</v>
      </c>
      <c r="M80" s="357" t="s">
        <v>274</v>
      </c>
      <c r="N80" s="130" t="s">
        <v>293</v>
      </c>
      <c r="O80" s="130" t="s">
        <v>276</v>
      </c>
      <c r="P80" s="23" t="s">
        <v>241</v>
      </c>
      <c r="Q80" s="563" t="s">
        <v>270</v>
      </c>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row>
    <row r="81" spans="1:95" customFormat="1" ht="15" hidden="1">
      <c r="A81" s="147"/>
      <c r="B81" s="147"/>
      <c r="C81" s="93" t="s">
        <v>290</v>
      </c>
      <c r="D81" s="83" t="s">
        <v>279</v>
      </c>
      <c r="E81" s="86" t="s">
        <v>109</v>
      </c>
      <c r="F81" s="272">
        <v>12.2</v>
      </c>
      <c r="G81" s="272">
        <v>13.4</v>
      </c>
      <c r="H81" s="56" t="s">
        <v>109</v>
      </c>
      <c r="I81" s="839">
        <f t="shared" si="38"/>
        <v>12.8</v>
      </c>
      <c r="J81" s="839">
        <f t="shared" si="39"/>
        <v>14.1</v>
      </c>
      <c r="K81" s="3">
        <v>100</v>
      </c>
      <c r="L81" s="86" t="s">
        <v>265</v>
      </c>
      <c r="M81" s="357" t="s">
        <v>280</v>
      </c>
      <c r="N81" s="130" t="s">
        <v>294</v>
      </c>
      <c r="O81" s="130" t="s">
        <v>282</v>
      </c>
      <c r="P81" s="23" t="s">
        <v>241</v>
      </c>
      <c r="Q81" s="563" t="s">
        <v>270</v>
      </c>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row>
    <row r="82" spans="1:95" customFormat="1" ht="15" hidden="1">
      <c r="A82" s="147"/>
      <c r="B82" s="147"/>
      <c r="C82" s="93" t="s">
        <v>290</v>
      </c>
      <c r="D82" s="83" t="s">
        <v>283</v>
      </c>
      <c r="E82" s="86" t="s">
        <v>109</v>
      </c>
      <c r="F82" s="272">
        <v>12</v>
      </c>
      <c r="G82" s="272">
        <v>13.3</v>
      </c>
      <c r="H82" s="56" t="s">
        <v>109</v>
      </c>
      <c r="I82" s="839">
        <f t="shared" si="38"/>
        <v>12.6</v>
      </c>
      <c r="J82" s="839">
        <f t="shared" si="39"/>
        <v>14</v>
      </c>
      <c r="K82" s="3">
        <v>100</v>
      </c>
      <c r="L82" s="86" t="s">
        <v>265</v>
      </c>
      <c r="M82" s="357" t="s">
        <v>280</v>
      </c>
      <c r="N82" s="130" t="s">
        <v>295</v>
      </c>
      <c r="O82" s="130" t="s">
        <v>282</v>
      </c>
      <c r="P82" s="23" t="s">
        <v>241</v>
      </c>
      <c r="Q82" s="563" t="s">
        <v>270</v>
      </c>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row>
    <row r="83" spans="1:95" customFormat="1" ht="15" hidden="1">
      <c r="A83" s="147"/>
      <c r="B83" s="147"/>
      <c r="C83" s="93" t="s">
        <v>296</v>
      </c>
      <c r="D83" s="83" t="s">
        <v>264</v>
      </c>
      <c r="E83" s="86">
        <f>F83*13/11.3</f>
        <v>13.920353982300883</v>
      </c>
      <c r="F83" s="272">
        <v>12.1</v>
      </c>
      <c r="G83" s="272">
        <v>12.3</v>
      </c>
      <c r="H83" s="553">
        <v>15.2</v>
      </c>
      <c r="I83" s="86">
        <v>13</v>
      </c>
      <c r="J83" s="86" t="s">
        <v>109</v>
      </c>
      <c r="K83" s="3">
        <v>50</v>
      </c>
      <c r="L83" s="86" t="s">
        <v>265</v>
      </c>
      <c r="M83" s="357" t="s">
        <v>266</v>
      </c>
      <c r="N83" s="130" t="s">
        <v>297</v>
      </c>
      <c r="O83" s="130" t="s">
        <v>268</v>
      </c>
      <c r="P83" s="23" t="s">
        <v>241</v>
      </c>
      <c r="Q83" s="563" t="s">
        <v>270</v>
      </c>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row>
    <row r="84" spans="1:95" customFormat="1" ht="15" hidden="1">
      <c r="A84" s="147"/>
      <c r="B84" s="147"/>
      <c r="C84" s="93" t="s">
        <v>296</v>
      </c>
      <c r="D84" s="83" t="s">
        <v>271</v>
      </c>
      <c r="E84" s="86">
        <f>F84*13/11.3</f>
        <v>13.920353982300883</v>
      </c>
      <c r="F84" s="272">
        <v>12.1</v>
      </c>
      <c r="G84" s="272">
        <v>12.3</v>
      </c>
      <c r="H84" s="553">
        <v>16.899999999999999</v>
      </c>
      <c r="I84" s="86">
        <v>13</v>
      </c>
      <c r="J84" s="86" t="s">
        <v>109</v>
      </c>
      <c r="K84" s="3">
        <v>100</v>
      </c>
      <c r="L84" s="86" t="s">
        <v>265</v>
      </c>
      <c r="M84" s="357" t="s">
        <v>266</v>
      </c>
      <c r="N84" s="130" t="s">
        <v>297</v>
      </c>
      <c r="O84" s="130" t="s">
        <v>272</v>
      </c>
      <c r="P84" s="23" t="s">
        <v>241</v>
      </c>
      <c r="Q84" s="563" t="s">
        <v>270</v>
      </c>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row>
    <row r="85" spans="1:95" customFormat="1" ht="15" hidden="1">
      <c r="A85" s="147"/>
      <c r="B85" s="147"/>
      <c r="C85" s="93" t="s">
        <v>296</v>
      </c>
      <c r="D85" s="83" t="s">
        <v>273</v>
      </c>
      <c r="E85" s="86" t="s">
        <v>109</v>
      </c>
      <c r="F85" s="272">
        <v>11.9</v>
      </c>
      <c r="G85" s="272">
        <v>13.7</v>
      </c>
      <c r="H85" s="56" t="s">
        <v>109</v>
      </c>
      <c r="I85" s="839">
        <f t="shared" ref="I85:I88" si="40">ROUND(F85*1.05,1)</f>
        <v>12.5</v>
      </c>
      <c r="J85" s="839">
        <f t="shared" ref="J85:J88" si="41">ROUND(G85*1.05,1)</f>
        <v>14.4</v>
      </c>
      <c r="K85" s="3">
        <v>125</v>
      </c>
      <c r="L85" s="86" t="s">
        <v>265</v>
      </c>
      <c r="M85" s="357" t="s">
        <v>274</v>
      </c>
      <c r="N85" s="130" t="s">
        <v>298</v>
      </c>
      <c r="O85" s="130" t="s">
        <v>276</v>
      </c>
      <c r="P85" s="23" t="s">
        <v>241</v>
      </c>
      <c r="Q85" s="563" t="s">
        <v>270</v>
      </c>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row>
    <row r="86" spans="1:95" customFormat="1" ht="15" hidden="1">
      <c r="A86" s="147"/>
      <c r="B86" s="147"/>
      <c r="C86" s="93" t="s">
        <v>296</v>
      </c>
      <c r="D86" s="83" t="s">
        <v>277</v>
      </c>
      <c r="E86" s="86" t="s">
        <v>109</v>
      </c>
      <c r="F86" s="272">
        <v>12.3</v>
      </c>
      <c r="G86" s="272">
        <v>13.7</v>
      </c>
      <c r="H86" s="56" t="s">
        <v>109</v>
      </c>
      <c r="I86" s="839">
        <f t="shared" si="40"/>
        <v>12.9</v>
      </c>
      <c r="J86" s="839">
        <f t="shared" si="41"/>
        <v>14.4</v>
      </c>
      <c r="K86" s="3">
        <v>125</v>
      </c>
      <c r="L86" s="86" t="s">
        <v>265</v>
      </c>
      <c r="M86" s="357" t="s">
        <v>274</v>
      </c>
      <c r="N86" s="130" t="s">
        <v>299</v>
      </c>
      <c r="O86" s="130" t="s">
        <v>276</v>
      </c>
      <c r="P86" s="23" t="s">
        <v>241</v>
      </c>
      <c r="Q86" s="563" t="s">
        <v>270</v>
      </c>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row>
    <row r="87" spans="1:95" customFormat="1" ht="15" hidden="1">
      <c r="A87" s="147"/>
      <c r="B87" s="147"/>
      <c r="C87" s="93" t="s">
        <v>296</v>
      </c>
      <c r="D87" s="83" t="s">
        <v>279</v>
      </c>
      <c r="E87" s="86" t="s">
        <v>109</v>
      </c>
      <c r="F87" s="272">
        <v>12.2</v>
      </c>
      <c r="G87" s="272">
        <v>13.4</v>
      </c>
      <c r="H87" s="56" t="s">
        <v>109</v>
      </c>
      <c r="I87" s="839">
        <f t="shared" si="40"/>
        <v>12.8</v>
      </c>
      <c r="J87" s="839">
        <f t="shared" si="41"/>
        <v>14.1</v>
      </c>
      <c r="K87" s="3">
        <v>100</v>
      </c>
      <c r="L87" s="86" t="s">
        <v>265</v>
      </c>
      <c r="M87" s="357" t="s">
        <v>280</v>
      </c>
      <c r="N87" s="130" t="s">
        <v>300</v>
      </c>
      <c r="O87" s="130" t="s">
        <v>282</v>
      </c>
      <c r="P87" s="23" t="s">
        <v>241</v>
      </c>
      <c r="Q87" s="563" t="s">
        <v>270</v>
      </c>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row>
    <row r="88" spans="1:95" customFormat="1" ht="15" hidden="1">
      <c r="A88" s="147"/>
      <c r="B88" s="147"/>
      <c r="C88" s="93" t="s">
        <v>296</v>
      </c>
      <c r="D88" s="83" t="s">
        <v>283</v>
      </c>
      <c r="E88" s="86" t="s">
        <v>109</v>
      </c>
      <c r="F88" s="272">
        <v>12</v>
      </c>
      <c r="G88" s="272">
        <v>13.3</v>
      </c>
      <c r="H88" s="56" t="s">
        <v>109</v>
      </c>
      <c r="I88" s="839">
        <f t="shared" si="40"/>
        <v>12.6</v>
      </c>
      <c r="J88" s="839">
        <f t="shared" si="41"/>
        <v>14</v>
      </c>
      <c r="K88" s="3">
        <v>100</v>
      </c>
      <c r="L88" s="86" t="s">
        <v>265</v>
      </c>
      <c r="M88" s="357" t="s">
        <v>280</v>
      </c>
      <c r="N88" s="130" t="s">
        <v>301</v>
      </c>
      <c r="O88" s="130" t="s">
        <v>282</v>
      </c>
      <c r="P88" s="23" t="s">
        <v>241</v>
      </c>
      <c r="Q88" s="563" t="s">
        <v>270</v>
      </c>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row>
    <row r="89" spans="1:95" customFormat="1" ht="15" hidden="1">
      <c r="A89" s="147"/>
      <c r="B89" s="147"/>
      <c r="C89" s="55" t="s">
        <v>302</v>
      </c>
      <c r="D89" s="83" t="s">
        <v>264</v>
      </c>
      <c r="E89" s="86">
        <f>F89*13/11.3</f>
        <v>13.920353982300883</v>
      </c>
      <c r="F89" s="272">
        <v>12.1</v>
      </c>
      <c r="G89" s="272">
        <v>12.3</v>
      </c>
      <c r="H89" s="553">
        <v>15.2</v>
      </c>
      <c r="I89" s="86">
        <v>13</v>
      </c>
      <c r="J89" s="86" t="s">
        <v>109</v>
      </c>
      <c r="K89" s="3">
        <v>50</v>
      </c>
      <c r="L89" s="86" t="s">
        <v>265</v>
      </c>
      <c r="M89" s="357" t="s">
        <v>266</v>
      </c>
      <c r="N89" s="130" t="s">
        <v>303</v>
      </c>
      <c r="O89" s="130" t="s">
        <v>268</v>
      </c>
      <c r="P89" s="23" t="s">
        <v>241</v>
      </c>
      <c r="Q89" s="563" t="s">
        <v>270</v>
      </c>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row>
    <row r="90" spans="1:95" customFormat="1" ht="15" hidden="1">
      <c r="A90" s="147"/>
      <c r="B90" s="147"/>
      <c r="C90" s="55" t="s">
        <v>302</v>
      </c>
      <c r="D90" s="83" t="s">
        <v>271</v>
      </c>
      <c r="E90" s="86">
        <f>F90*13/11.3</f>
        <v>13.920353982300883</v>
      </c>
      <c r="F90" s="272">
        <v>12.1</v>
      </c>
      <c r="G90" s="272">
        <v>12.3</v>
      </c>
      <c r="H90" s="553">
        <v>16.899999999999999</v>
      </c>
      <c r="I90" s="86">
        <v>13</v>
      </c>
      <c r="J90" s="86" t="s">
        <v>109</v>
      </c>
      <c r="K90" s="3">
        <v>100</v>
      </c>
      <c r="L90" s="86" t="s">
        <v>265</v>
      </c>
      <c r="M90" s="357" t="s">
        <v>266</v>
      </c>
      <c r="N90" s="130" t="s">
        <v>303</v>
      </c>
      <c r="O90" s="130" t="s">
        <v>272</v>
      </c>
      <c r="P90" s="23" t="s">
        <v>241</v>
      </c>
      <c r="Q90" s="563" t="s">
        <v>270</v>
      </c>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row>
    <row r="91" spans="1:95" customFormat="1" ht="15" hidden="1">
      <c r="A91" s="147"/>
      <c r="B91" s="147"/>
      <c r="C91" s="55" t="s">
        <v>302</v>
      </c>
      <c r="D91" s="1" t="s">
        <v>273</v>
      </c>
      <c r="E91" s="86" t="s">
        <v>109</v>
      </c>
      <c r="F91" s="272">
        <v>11.9</v>
      </c>
      <c r="G91" s="272">
        <v>12.1</v>
      </c>
      <c r="H91" s="56" t="s">
        <v>109</v>
      </c>
      <c r="I91" s="839">
        <f t="shared" ref="I91:I94" si="42">ROUND(F91*1.05,1)</f>
        <v>12.5</v>
      </c>
      <c r="J91" s="839">
        <f t="shared" ref="J91:J94" si="43">ROUND(G91*1.05,1)</f>
        <v>12.7</v>
      </c>
      <c r="K91" s="3">
        <v>125</v>
      </c>
      <c r="L91" s="86" t="s">
        <v>265</v>
      </c>
      <c r="M91" s="357" t="s">
        <v>274</v>
      </c>
      <c r="N91" s="130" t="s">
        <v>304</v>
      </c>
      <c r="O91" s="130" t="s">
        <v>276</v>
      </c>
      <c r="P91" s="23" t="s">
        <v>241</v>
      </c>
      <c r="Q91" s="563" t="s">
        <v>270</v>
      </c>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row>
    <row r="92" spans="1:95" customFormat="1" ht="15" hidden="1">
      <c r="A92" s="147"/>
      <c r="B92" s="147"/>
      <c r="C92" s="55" t="s">
        <v>302</v>
      </c>
      <c r="D92" s="1" t="s">
        <v>277</v>
      </c>
      <c r="E92" s="86" t="s">
        <v>109</v>
      </c>
      <c r="F92" s="272">
        <v>11.8</v>
      </c>
      <c r="G92" s="272">
        <v>12</v>
      </c>
      <c r="H92" s="56" t="s">
        <v>109</v>
      </c>
      <c r="I92" s="839">
        <f t="shared" si="42"/>
        <v>12.4</v>
      </c>
      <c r="J92" s="839">
        <f t="shared" si="43"/>
        <v>12.6</v>
      </c>
      <c r="K92" s="3">
        <v>125</v>
      </c>
      <c r="L92" s="86" t="s">
        <v>265</v>
      </c>
      <c r="M92" s="357" t="s">
        <v>274</v>
      </c>
      <c r="N92" s="130" t="s">
        <v>305</v>
      </c>
      <c r="O92" s="130" t="s">
        <v>276</v>
      </c>
      <c r="P92" s="23" t="s">
        <v>241</v>
      </c>
      <c r="Q92" s="563" t="s">
        <v>270</v>
      </c>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row>
    <row r="93" spans="1:95" customFormat="1" ht="15" hidden="1">
      <c r="A93" s="147"/>
      <c r="B93" s="147"/>
      <c r="C93" s="55" t="s">
        <v>302</v>
      </c>
      <c r="D93" s="1" t="s">
        <v>279</v>
      </c>
      <c r="E93" s="86" t="s">
        <v>109</v>
      </c>
      <c r="F93" s="272">
        <v>11.7</v>
      </c>
      <c r="G93" s="272">
        <v>11.9</v>
      </c>
      <c r="H93" s="56" t="s">
        <v>109</v>
      </c>
      <c r="I93" s="839">
        <f t="shared" si="42"/>
        <v>12.3</v>
      </c>
      <c r="J93" s="839">
        <f t="shared" si="43"/>
        <v>12.5</v>
      </c>
      <c r="K93" s="3">
        <v>100</v>
      </c>
      <c r="L93" s="86" t="s">
        <v>265</v>
      </c>
      <c r="M93" s="357" t="s">
        <v>280</v>
      </c>
      <c r="N93" s="130" t="s">
        <v>306</v>
      </c>
      <c r="O93" s="130" t="s">
        <v>282</v>
      </c>
      <c r="P93" s="23" t="s">
        <v>241</v>
      </c>
      <c r="Q93" s="563" t="s">
        <v>270</v>
      </c>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row>
    <row r="94" spans="1:95" customFormat="1" ht="15" hidden="1">
      <c r="A94" s="147"/>
      <c r="B94" s="147"/>
      <c r="C94" s="55" t="s">
        <v>302</v>
      </c>
      <c r="D94" s="1" t="s">
        <v>283</v>
      </c>
      <c r="E94" s="86" t="s">
        <v>109</v>
      </c>
      <c r="F94" s="272">
        <v>11.5</v>
      </c>
      <c r="G94" s="272">
        <v>11.7</v>
      </c>
      <c r="H94" s="56" t="s">
        <v>109</v>
      </c>
      <c r="I94" s="839">
        <f t="shared" si="42"/>
        <v>12.1</v>
      </c>
      <c r="J94" s="839">
        <f t="shared" si="43"/>
        <v>12.3</v>
      </c>
      <c r="K94" s="3">
        <v>100</v>
      </c>
      <c r="L94" s="86" t="s">
        <v>265</v>
      </c>
      <c r="M94" s="357" t="s">
        <v>280</v>
      </c>
      <c r="N94" s="130" t="s">
        <v>307</v>
      </c>
      <c r="O94" s="130" t="s">
        <v>282</v>
      </c>
      <c r="P94" s="23" t="s">
        <v>241</v>
      </c>
      <c r="Q94" s="563" t="s">
        <v>270</v>
      </c>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row>
    <row r="95" spans="1:95" customFormat="1" ht="15" hidden="1">
      <c r="A95" s="147"/>
      <c r="B95" s="147"/>
      <c r="C95" s="55" t="s">
        <v>308</v>
      </c>
      <c r="D95" s="83" t="s">
        <v>264</v>
      </c>
      <c r="E95" s="86">
        <f>F95*13/11.3</f>
        <v>13.920353982300883</v>
      </c>
      <c r="F95" s="272">
        <v>12.1</v>
      </c>
      <c r="G95" s="272">
        <v>12.3</v>
      </c>
      <c r="H95" s="553">
        <v>15.2</v>
      </c>
      <c r="I95" s="86">
        <v>13</v>
      </c>
      <c r="J95" s="86" t="s">
        <v>109</v>
      </c>
      <c r="K95" s="3">
        <v>50</v>
      </c>
      <c r="L95" s="86" t="s">
        <v>265</v>
      </c>
      <c r="M95" s="357" t="s">
        <v>266</v>
      </c>
      <c r="N95" s="130" t="s">
        <v>309</v>
      </c>
      <c r="O95" s="130" t="s">
        <v>268</v>
      </c>
      <c r="P95" s="23" t="s">
        <v>241</v>
      </c>
      <c r="Q95" s="563" t="s">
        <v>270</v>
      </c>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row>
    <row r="96" spans="1:95" customFormat="1" ht="15" hidden="1">
      <c r="A96" s="147"/>
      <c r="B96" s="147"/>
      <c r="C96" s="55" t="s">
        <v>308</v>
      </c>
      <c r="D96" s="83" t="s">
        <v>271</v>
      </c>
      <c r="E96" s="86">
        <f>F96*13/11.3</f>
        <v>13.920353982300883</v>
      </c>
      <c r="F96" s="272">
        <v>12.1</v>
      </c>
      <c r="G96" s="272">
        <v>12.3</v>
      </c>
      <c r="H96" s="553">
        <v>16.899999999999999</v>
      </c>
      <c r="I96" s="86">
        <v>13</v>
      </c>
      <c r="J96" s="86" t="s">
        <v>109</v>
      </c>
      <c r="K96" s="3">
        <v>100</v>
      </c>
      <c r="L96" s="86" t="s">
        <v>265</v>
      </c>
      <c r="M96" s="357" t="s">
        <v>266</v>
      </c>
      <c r="N96" s="130" t="s">
        <v>309</v>
      </c>
      <c r="O96" s="130" t="s">
        <v>272</v>
      </c>
      <c r="P96" s="23" t="s">
        <v>241</v>
      </c>
      <c r="Q96" s="563" t="s">
        <v>270</v>
      </c>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row>
    <row r="97" spans="1:96" customFormat="1" ht="15" hidden="1">
      <c r="A97" s="147"/>
      <c r="B97" s="147"/>
      <c r="C97" s="55" t="s">
        <v>308</v>
      </c>
      <c r="D97" s="1" t="s">
        <v>273</v>
      </c>
      <c r="E97" s="86" t="s">
        <v>109</v>
      </c>
      <c r="F97" s="272">
        <v>11.9</v>
      </c>
      <c r="G97" s="272">
        <v>12.1</v>
      </c>
      <c r="H97" s="56" t="s">
        <v>109</v>
      </c>
      <c r="I97" s="839">
        <f t="shared" ref="I97:I100" si="44">ROUND(F97*1.05,1)</f>
        <v>12.5</v>
      </c>
      <c r="J97" s="839">
        <f t="shared" ref="J97:J100" si="45">ROUND(G97*1.05,1)</f>
        <v>12.7</v>
      </c>
      <c r="K97" s="3">
        <v>125</v>
      </c>
      <c r="L97" s="86" t="s">
        <v>265</v>
      </c>
      <c r="M97" s="357" t="s">
        <v>274</v>
      </c>
      <c r="N97" s="130" t="s">
        <v>310</v>
      </c>
      <c r="O97" s="130" t="s">
        <v>276</v>
      </c>
      <c r="P97" s="23" t="s">
        <v>241</v>
      </c>
      <c r="Q97" s="563" t="s">
        <v>270</v>
      </c>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row>
    <row r="98" spans="1:96" customFormat="1" ht="15" hidden="1">
      <c r="A98" s="147"/>
      <c r="B98" s="147"/>
      <c r="C98" s="55" t="s">
        <v>308</v>
      </c>
      <c r="D98" s="1" t="s">
        <v>277</v>
      </c>
      <c r="E98" s="86" t="s">
        <v>109</v>
      </c>
      <c r="F98" s="272">
        <v>11.8</v>
      </c>
      <c r="G98" s="272">
        <v>12</v>
      </c>
      <c r="H98" s="56" t="s">
        <v>109</v>
      </c>
      <c r="I98" s="839">
        <f t="shared" si="44"/>
        <v>12.4</v>
      </c>
      <c r="J98" s="839">
        <f t="shared" si="45"/>
        <v>12.6</v>
      </c>
      <c r="K98" s="3">
        <v>125</v>
      </c>
      <c r="L98" s="86" t="s">
        <v>265</v>
      </c>
      <c r="M98" s="357" t="s">
        <v>274</v>
      </c>
      <c r="N98" s="130" t="s">
        <v>311</v>
      </c>
      <c r="O98" s="130" t="s">
        <v>276</v>
      </c>
      <c r="P98" s="23" t="s">
        <v>241</v>
      </c>
      <c r="Q98" s="563" t="s">
        <v>270</v>
      </c>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row>
    <row r="99" spans="1:96" customFormat="1" ht="15" hidden="1">
      <c r="A99" s="147"/>
      <c r="B99" s="147"/>
      <c r="C99" s="55" t="s">
        <v>308</v>
      </c>
      <c r="D99" s="1" t="s">
        <v>279</v>
      </c>
      <c r="E99" s="86" t="s">
        <v>109</v>
      </c>
      <c r="F99" s="272">
        <v>11.7</v>
      </c>
      <c r="G99" s="272">
        <v>11.9</v>
      </c>
      <c r="H99" s="56" t="s">
        <v>109</v>
      </c>
      <c r="I99" s="839">
        <f t="shared" si="44"/>
        <v>12.3</v>
      </c>
      <c r="J99" s="839">
        <f t="shared" si="45"/>
        <v>12.5</v>
      </c>
      <c r="K99" s="3">
        <v>100</v>
      </c>
      <c r="L99" s="86" t="s">
        <v>265</v>
      </c>
      <c r="M99" s="357" t="s">
        <v>280</v>
      </c>
      <c r="N99" s="130" t="s">
        <v>312</v>
      </c>
      <c r="O99" s="130" t="s">
        <v>282</v>
      </c>
      <c r="P99" s="23" t="s">
        <v>241</v>
      </c>
      <c r="Q99" s="563" t="s">
        <v>270</v>
      </c>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row>
    <row r="100" spans="1:96" customFormat="1" ht="15.75" hidden="1" thickBot="1">
      <c r="A100" s="147"/>
      <c r="B100" s="147"/>
      <c r="C100" s="58" t="s">
        <v>308</v>
      </c>
      <c r="D100" s="97" t="s">
        <v>283</v>
      </c>
      <c r="E100" s="98" t="s">
        <v>109</v>
      </c>
      <c r="F100" s="564">
        <v>11.5</v>
      </c>
      <c r="G100" s="564">
        <v>11.7</v>
      </c>
      <c r="H100" s="565" t="s">
        <v>109</v>
      </c>
      <c r="I100" s="839">
        <f t="shared" si="44"/>
        <v>12.1</v>
      </c>
      <c r="J100" s="839">
        <f t="shared" si="45"/>
        <v>12.3</v>
      </c>
      <c r="K100" s="566">
        <v>100</v>
      </c>
      <c r="L100" s="98" t="s">
        <v>265</v>
      </c>
      <c r="M100" s="359" t="s">
        <v>280</v>
      </c>
      <c r="N100" s="567" t="s">
        <v>313</v>
      </c>
      <c r="O100" s="567" t="s">
        <v>282</v>
      </c>
      <c r="P100" s="568" t="s">
        <v>241</v>
      </c>
      <c r="Q100" s="563" t="s">
        <v>270</v>
      </c>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row>
    <row r="101" spans="1:96" customFormat="1" ht="15" hidden="1">
      <c r="A101" s="147"/>
      <c r="B101" s="147"/>
      <c r="C101" s="123"/>
      <c r="D101" s="123"/>
      <c r="E101" s="123"/>
      <c r="F101" s="123"/>
      <c r="G101" s="123"/>
      <c r="H101" s="123"/>
      <c r="I101" s="123"/>
      <c r="J101" s="123"/>
      <c r="K101" s="123"/>
      <c r="L101" s="123"/>
      <c r="M101" s="123"/>
      <c r="N101" s="123"/>
      <c r="O101" s="123"/>
      <c r="P101" s="123"/>
      <c r="Q101" s="123"/>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row>
    <row r="102" spans="1:96" customFormat="1" ht="15" hidden="1">
      <c r="A102" s="147"/>
      <c r="B102" s="147"/>
      <c r="C102" s="123"/>
      <c r="D102" s="123"/>
      <c r="E102" s="123"/>
      <c r="F102" s="123"/>
      <c r="G102" s="123"/>
      <c r="H102" s="123"/>
      <c r="I102" s="123"/>
      <c r="J102" s="123"/>
      <c r="K102" s="123"/>
      <c r="L102" s="123"/>
      <c r="M102" s="123"/>
      <c r="N102" s="123"/>
      <c r="O102" s="123"/>
      <c r="P102" s="123"/>
      <c r="Q102" s="123"/>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row>
    <row r="103" spans="1:96" customFormat="1" ht="15" hidden="1">
      <c r="A103" s="147"/>
      <c r="B103" s="147"/>
      <c r="E103" s="369"/>
      <c r="F103" s="369"/>
      <c r="G103" s="369"/>
      <c r="H103" s="369"/>
      <c r="I103" s="369"/>
      <c r="J103" s="369"/>
      <c r="K103" s="370"/>
      <c r="L103" s="369"/>
      <c r="M103" s="53"/>
      <c r="N103" s="326"/>
      <c r="O103" s="326"/>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row>
    <row r="104" spans="1:96" customFormat="1" ht="15" hidden="1">
      <c r="A104" s="147"/>
      <c r="B104" s="147"/>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row>
    <row r="105" spans="1:96" customFormat="1" ht="15" hidden="1">
      <c r="A105" s="147"/>
      <c r="B105" s="147"/>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row>
    <row r="106" spans="1:96" customFormat="1" ht="15" hidden="1">
      <c r="A106" s="147"/>
      <c r="B106" s="147"/>
      <c r="C106" s="287" t="s">
        <v>250</v>
      </c>
      <c r="D106" s="288" t="s">
        <v>316</v>
      </c>
      <c r="E106" s="11"/>
      <c r="F106" s="288" t="s">
        <v>168</v>
      </c>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row>
    <row r="107" spans="1:96" customFormat="1" ht="15" hidden="1">
      <c r="A107" s="147"/>
      <c r="B107" s="147"/>
      <c r="C107" s="108" t="s">
        <v>245</v>
      </c>
      <c r="D107" s="23" t="s">
        <v>243</v>
      </c>
      <c r="E107" s="11"/>
      <c r="F107" s="22">
        <v>15</v>
      </c>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row>
    <row r="108" spans="1:96" customFormat="1" ht="15" hidden="1">
      <c r="A108" s="147"/>
      <c r="B108" s="147"/>
      <c r="C108" s="108" t="s">
        <v>240</v>
      </c>
      <c r="D108" s="23" t="s">
        <v>241</v>
      </c>
      <c r="E108" s="11"/>
      <c r="F108" s="33"/>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row>
    <row r="109" spans="1:96" customFormat="1" ht="15" hidden="1">
      <c r="A109" s="147"/>
      <c r="B109" s="147"/>
      <c r="C109" s="108" t="s">
        <v>290</v>
      </c>
      <c r="D109" s="23" t="s">
        <v>317</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row>
    <row r="110" spans="1:96" customFormat="1" ht="15" hidden="1">
      <c r="A110" s="147"/>
      <c r="B110" s="147"/>
      <c r="C110" s="108" t="s">
        <v>296</v>
      </c>
      <c r="D110" s="23" t="s">
        <v>318</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row>
    <row r="111" spans="1:96" customFormat="1" ht="33.75" hidden="1" customHeight="1">
      <c r="A111" s="147"/>
      <c r="B111" s="147"/>
      <c r="C111" s="108" t="s">
        <v>302</v>
      </c>
      <c r="D111" s="37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row>
    <row r="112" spans="1:96" customFormat="1" ht="15" hidden="1">
      <c r="A112" s="147"/>
      <c r="B112" s="147"/>
      <c r="C112" s="108" t="s">
        <v>308</v>
      </c>
      <c r="D112" s="37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row>
    <row r="113" spans="1:96">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D113" s="115"/>
      <c r="CE113" s="115"/>
      <c r="CF113" s="115"/>
      <c r="CG113" s="115"/>
      <c r="CH113" s="115"/>
      <c r="CI113" s="115"/>
      <c r="CJ113" s="115"/>
      <c r="CK113" s="115"/>
      <c r="CL113" s="115"/>
      <c r="CM113" s="115"/>
      <c r="CN113" s="115"/>
      <c r="CO113" s="115"/>
      <c r="CP113" s="115"/>
      <c r="CQ113" s="115"/>
      <c r="CR113" s="115"/>
    </row>
    <row r="114" spans="1:96">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c r="CG114" s="115"/>
      <c r="CH114" s="115"/>
      <c r="CI114" s="115"/>
      <c r="CJ114" s="115"/>
      <c r="CK114" s="115"/>
      <c r="CL114" s="115"/>
      <c r="CM114" s="115"/>
      <c r="CN114" s="115"/>
      <c r="CO114" s="115"/>
      <c r="CP114" s="115"/>
      <c r="CQ114" s="115"/>
      <c r="CR114" s="115"/>
    </row>
    <row r="115" spans="1:96">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row>
    <row r="116" spans="1:96" ht="15" thickBot="1">
      <c r="A116" s="115"/>
      <c r="B116" s="115"/>
      <c r="C116" s="738"/>
      <c r="D116" s="739"/>
      <c r="E116" s="739"/>
      <c r="F116" s="739"/>
      <c r="G116" s="739"/>
      <c r="H116" s="115"/>
      <c r="I116" s="115"/>
      <c r="J116" s="115"/>
      <c r="K116" s="115"/>
      <c r="L116" s="115"/>
      <c r="M116" s="115"/>
      <c r="N116" s="115"/>
      <c r="O116" s="115"/>
      <c r="P116" s="115"/>
      <c r="Q116" s="740"/>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row>
    <row r="117" spans="1:96" ht="15" thickBot="1">
      <c r="A117" s="115"/>
      <c r="B117" s="115"/>
      <c r="C117" s="738"/>
      <c r="D117" s="739"/>
      <c r="E117" s="739"/>
      <c r="F117" s="739"/>
      <c r="G117" s="739"/>
      <c r="H117" s="115"/>
      <c r="I117" s="115"/>
      <c r="J117" s="115"/>
      <c r="K117" s="115"/>
      <c r="L117" s="115"/>
      <c r="M117" s="115"/>
      <c r="N117" s="115"/>
      <c r="O117" s="115"/>
      <c r="P117" s="115"/>
      <c r="Q117" s="740"/>
      <c r="R117" s="115"/>
      <c r="S117" s="115"/>
      <c r="T117" s="115"/>
      <c r="U117" s="115"/>
      <c r="V117" s="115"/>
      <c r="W117" s="115"/>
      <c r="X117" s="115"/>
      <c r="Y117" s="115"/>
      <c r="Z117" s="115"/>
      <c r="AA117" s="115"/>
      <c r="AB117" s="115"/>
      <c r="AC117" s="115"/>
      <c r="AD117" s="749"/>
      <c r="AE117" s="750"/>
      <c r="AF117" s="750"/>
      <c r="AG117" s="750"/>
      <c r="AH117" s="750"/>
      <c r="AI117" s="750"/>
      <c r="AJ117" s="750"/>
      <c r="AK117" s="750"/>
      <c r="AL117" s="751"/>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5"/>
      <c r="CH117" s="115"/>
      <c r="CI117" s="115"/>
      <c r="CJ117" s="115"/>
      <c r="CK117" s="115"/>
      <c r="CL117" s="115"/>
      <c r="CM117" s="115"/>
      <c r="CN117" s="115"/>
      <c r="CO117" s="115"/>
      <c r="CP117" s="115"/>
      <c r="CQ117" s="115"/>
      <c r="CR117" s="115"/>
    </row>
    <row r="118" spans="1:96">
      <c r="A118" s="115"/>
      <c r="B118" s="115"/>
      <c r="C118" s="738"/>
      <c r="D118" s="739"/>
      <c r="E118" s="739"/>
      <c r="F118" s="739"/>
      <c r="G118" s="739"/>
      <c r="H118" s="115"/>
      <c r="I118" s="115"/>
      <c r="J118" s="115"/>
      <c r="K118" s="115"/>
      <c r="L118" s="115"/>
      <c r="M118" s="115"/>
      <c r="N118" s="115"/>
      <c r="O118" s="115"/>
      <c r="P118" s="115"/>
      <c r="Q118" s="740"/>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c r="CI118" s="115"/>
      <c r="CJ118" s="115"/>
      <c r="CK118" s="115"/>
      <c r="CL118" s="115"/>
      <c r="CM118" s="115"/>
      <c r="CN118" s="115"/>
      <c r="CO118" s="115"/>
      <c r="CP118" s="115"/>
      <c r="CQ118" s="115"/>
      <c r="CR118" s="115"/>
    </row>
    <row r="119" spans="1:96">
      <c r="A119" s="115"/>
      <c r="B119" s="115"/>
      <c r="C119" s="738"/>
      <c r="D119" s="739"/>
      <c r="E119" s="739"/>
      <c r="F119" s="739"/>
      <c r="G119" s="739"/>
      <c r="H119" s="115"/>
      <c r="I119" s="115"/>
      <c r="J119" s="115"/>
      <c r="K119" s="115"/>
      <c r="L119" s="115"/>
      <c r="M119" s="115"/>
      <c r="N119" s="115"/>
      <c r="O119" s="115"/>
      <c r="P119" s="115"/>
      <c r="Q119" s="740"/>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15"/>
      <c r="CD119" s="115"/>
      <c r="CE119" s="115"/>
      <c r="CF119" s="115"/>
      <c r="CG119" s="115"/>
      <c r="CH119" s="115"/>
      <c r="CI119" s="115"/>
      <c r="CJ119" s="115"/>
      <c r="CK119" s="115"/>
      <c r="CL119" s="115"/>
      <c r="CM119" s="115"/>
      <c r="CN119" s="115"/>
      <c r="CO119" s="115"/>
      <c r="CP119" s="115"/>
      <c r="CQ119" s="115"/>
      <c r="CR119" s="115"/>
    </row>
    <row r="120" spans="1:96">
      <c r="A120" s="115"/>
      <c r="B120" s="115"/>
      <c r="C120" s="115"/>
      <c r="D120" s="115"/>
      <c r="E120" s="115"/>
      <c r="F120" s="115"/>
      <c r="G120" s="115"/>
      <c r="H120" s="115"/>
      <c r="I120" s="115"/>
      <c r="J120" s="115"/>
      <c r="K120" s="115"/>
      <c r="L120" s="115"/>
      <c r="M120" s="115"/>
      <c r="N120" s="115"/>
      <c r="O120" s="115"/>
      <c r="P120" s="115"/>
      <c r="Q120" s="740"/>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c r="CI120" s="115"/>
      <c r="CJ120" s="115"/>
      <c r="CK120" s="115"/>
      <c r="CL120" s="115"/>
      <c r="CM120" s="115"/>
      <c r="CN120" s="115"/>
      <c r="CO120" s="115"/>
      <c r="CP120" s="115"/>
      <c r="CQ120" s="115"/>
      <c r="CR120" s="115"/>
    </row>
    <row r="121" spans="1:96">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15"/>
      <c r="CD121" s="115"/>
      <c r="CE121" s="115"/>
      <c r="CF121" s="115"/>
      <c r="CG121" s="115"/>
      <c r="CH121" s="115"/>
      <c r="CI121" s="115"/>
      <c r="CJ121" s="115"/>
      <c r="CK121" s="115"/>
      <c r="CL121" s="115"/>
      <c r="CM121" s="115"/>
      <c r="CN121" s="115"/>
      <c r="CO121" s="115"/>
      <c r="CP121" s="115"/>
      <c r="CQ121" s="115"/>
      <c r="CR121" s="115"/>
    </row>
    <row r="122" spans="1:96">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c r="CI122" s="115"/>
      <c r="CJ122" s="115"/>
      <c r="CK122" s="115"/>
      <c r="CL122" s="115"/>
      <c r="CM122" s="115"/>
      <c r="CN122" s="115"/>
      <c r="CO122" s="115"/>
      <c r="CP122" s="115"/>
      <c r="CQ122" s="115"/>
      <c r="CR122" s="115"/>
    </row>
    <row r="123" spans="1:96">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c r="CB123" s="115"/>
      <c r="CC123" s="115"/>
      <c r="CD123" s="115"/>
      <c r="CE123" s="115"/>
      <c r="CF123" s="115"/>
      <c r="CG123" s="115"/>
      <c r="CH123" s="115"/>
      <c r="CI123" s="115"/>
      <c r="CJ123" s="115"/>
      <c r="CK123" s="115"/>
      <c r="CL123" s="115"/>
      <c r="CM123" s="115"/>
      <c r="CN123" s="115"/>
      <c r="CO123" s="115"/>
      <c r="CP123" s="115"/>
      <c r="CQ123" s="115"/>
      <c r="CR123" s="115"/>
    </row>
    <row r="124" spans="1:96">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c r="CB124" s="115"/>
      <c r="CC124" s="115"/>
      <c r="CD124" s="115"/>
      <c r="CE124" s="115"/>
      <c r="CF124" s="115"/>
      <c r="CG124" s="115"/>
      <c r="CH124" s="115"/>
      <c r="CI124" s="115"/>
      <c r="CJ124" s="115"/>
      <c r="CK124" s="115"/>
      <c r="CL124" s="115"/>
      <c r="CM124" s="115"/>
      <c r="CN124" s="115"/>
      <c r="CO124" s="115"/>
      <c r="CP124" s="115"/>
      <c r="CQ124" s="115"/>
      <c r="CR124" s="115"/>
    </row>
    <row r="125" spans="1:96">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c r="CI125" s="115"/>
      <c r="CJ125" s="115"/>
      <c r="CK125" s="115"/>
      <c r="CL125" s="115"/>
      <c r="CM125" s="115"/>
      <c r="CN125" s="115"/>
      <c r="CO125" s="115"/>
      <c r="CP125" s="115"/>
      <c r="CQ125" s="115"/>
      <c r="CR125" s="115"/>
    </row>
    <row r="126" spans="1:96">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15"/>
      <c r="CD126" s="115"/>
      <c r="CE126" s="115"/>
      <c r="CF126" s="115"/>
      <c r="CG126" s="115"/>
      <c r="CH126" s="115"/>
      <c r="CI126" s="115"/>
      <c r="CJ126" s="115"/>
      <c r="CK126" s="115"/>
      <c r="CL126" s="115"/>
      <c r="CM126" s="115"/>
      <c r="CN126" s="115"/>
      <c r="CO126" s="115"/>
      <c r="CP126" s="115"/>
      <c r="CQ126" s="115"/>
      <c r="CR126" s="115"/>
    </row>
    <row r="127" spans="1:96">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15"/>
      <c r="CD127" s="115"/>
      <c r="CE127" s="115"/>
      <c r="CF127" s="115"/>
      <c r="CG127" s="115"/>
      <c r="CH127" s="115"/>
      <c r="CI127" s="115"/>
      <c r="CJ127" s="115"/>
      <c r="CK127" s="115"/>
      <c r="CL127" s="115"/>
      <c r="CM127" s="115"/>
      <c r="CN127" s="115"/>
      <c r="CO127" s="115"/>
      <c r="CP127" s="115"/>
      <c r="CQ127" s="115"/>
      <c r="CR127" s="115"/>
    </row>
    <row r="128" spans="1:96">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c r="CG128" s="115"/>
      <c r="CH128" s="115"/>
      <c r="CI128" s="115"/>
      <c r="CJ128" s="115"/>
      <c r="CK128" s="115"/>
      <c r="CL128" s="115"/>
      <c r="CM128" s="115"/>
      <c r="CN128" s="115"/>
      <c r="CO128" s="115"/>
      <c r="CP128" s="115"/>
      <c r="CQ128" s="115"/>
      <c r="CR128" s="115"/>
    </row>
    <row r="129" spans="1:96">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c r="CG129" s="115"/>
      <c r="CH129" s="115"/>
      <c r="CI129" s="115"/>
      <c r="CJ129" s="115"/>
      <c r="CK129" s="115"/>
      <c r="CL129" s="115"/>
      <c r="CM129" s="115"/>
      <c r="CN129" s="115"/>
      <c r="CO129" s="115"/>
      <c r="CP129" s="115"/>
      <c r="CQ129" s="115"/>
      <c r="CR129" s="115"/>
    </row>
    <row r="130" spans="1:96">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c r="CG130" s="115"/>
      <c r="CH130" s="115"/>
      <c r="CI130" s="115"/>
      <c r="CJ130" s="115"/>
      <c r="CK130" s="115"/>
      <c r="CL130" s="115"/>
      <c r="CM130" s="115"/>
      <c r="CN130" s="115"/>
      <c r="CO130" s="115"/>
      <c r="CP130" s="115"/>
      <c r="CQ130" s="115"/>
      <c r="CR130" s="115"/>
    </row>
    <row r="131" spans="1:96">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c r="CG131" s="115"/>
      <c r="CH131" s="115"/>
      <c r="CI131" s="115"/>
      <c r="CJ131" s="115"/>
      <c r="CK131" s="115"/>
      <c r="CL131" s="115"/>
      <c r="CM131" s="115"/>
      <c r="CN131" s="115"/>
      <c r="CO131" s="115"/>
      <c r="CP131" s="115"/>
      <c r="CQ131" s="115"/>
      <c r="CR131" s="115"/>
    </row>
    <row r="132" spans="1:96">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c r="CG132" s="115"/>
      <c r="CH132" s="115"/>
      <c r="CI132" s="115"/>
      <c r="CJ132" s="115"/>
      <c r="CK132" s="115"/>
      <c r="CL132" s="115"/>
      <c r="CM132" s="115"/>
      <c r="CN132" s="115"/>
      <c r="CO132" s="115"/>
      <c r="CP132" s="115"/>
      <c r="CQ132" s="115"/>
      <c r="CR132" s="115"/>
    </row>
    <row r="133" spans="1:96">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c r="CG133" s="115"/>
      <c r="CH133" s="115"/>
      <c r="CI133" s="115"/>
      <c r="CJ133" s="115"/>
      <c r="CK133" s="115"/>
      <c r="CL133" s="115"/>
      <c r="CM133" s="115"/>
      <c r="CN133" s="115"/>
      <c r="CO133" s="115"/>
      <c r="CP133" s="115"/>
      <c r="CQ133" s="115"/>
      <c r="CR133" s="115"/>
    </row>
    <row r="134" spans="1:96">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c r="CG134" s="115"/>
      <c r="CH134" s="115"/>
      <c r="CI134" s="115"/>
      <c r="CJ134" s="115"/>
      <c r="CK134" s="115"/>
      <c r="CL134" s="115"/>
      <c r="CM134" s="115"/>
      <c r="CN134" s="115"/>
      <c r="CO134" s="115"/>
      <c r="CP134" s="115"/>
      <c r="CQ134" s="115"/>
      <c r="CR134" s="115"/>
    </row>
    <row r="135" spans="1:96">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row>
    <row r="136" spans="1:96">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c r="CI136" s="115"/>
      <c r="CJ136" s="115"/>
      <c r="CK136" s="115"/>
      <c r="CL136" s="115"/>
      <c r="CM136" s="115"/>
      <c r="CN136" s="115"/>
      <c r="CO136" s="115"/>
      <c r="CP136" s="115"/>
      <c r="CQ136" s="115"/>
      <c r="CR136" s="115"/>
    </row>
    <row r="137" spans="1:96">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c r="CG137" s="115"/>
      <c r="CH137" s="115"/>
      <c r="CI137" s="115"/>
      <c r="CJ137" s="115"/>
      <c r="CK137" s="115"/>
      <c r="CL137" s="115"/>
      <c r="CM137" s="115"/>
      <c r="CN137" s="115"/>
      <c r="CO137" s="115"/>
      <c r="CP137" s="115"/>
      <c r="CQ137" s="115"/>
      <c r="CR137" s="115"/>
    </row>
    <row r="138" spans="1:96">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c r="CI138" s="115"/>
      <c r="CJ138" s="115"/>
      <c r="CK138" s="115"/>
      <c r="CL138" s="115"/>
      <c r="CM138" s="115"/>
      <c r="CN138" s="115"/>
      <c r="CO138" s="115"/>
      <c r="CP138" s="115"/>
      <c r="CQ138" s="115"/>
      <c r="CR138" s="115"/>
    </row>
    <row r="139" spans="1:96">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c r="CG139" s="115"/>
      <c r="CH139" s="115"/>
      <c r="CI139" s="115"/>
      <c r="CJ139" s="115"/>
      <c r="CK139" s="115"/>
      <c r="CL139" s="115"/>
      <c r="CM139" s="115"/>
      <c r="CN139" s="115"/>
      <c r="CO139" s="115"/>
      <c r="CP139" s="115"/>
      <c r="CQ139" s="115"/>
      <c r="CR139" s="115"/>
    </row>
    <row r="140" spans="1:96">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15"/>
      <c r="CD140" s="115"/>
      <c r="CE140" s="115"/>
      <c r="CF140" s="115"/>
      <c r="CG140" s="115"/>
      <c r="CH140" s="115"/>
      <c r="CI140" s="115"/>
      <c r="CJ140" s="115"/>
      <c r="CK140" s="115"/>
      <c r="CL140" s="115"/>
      <c r="CM140" s="115"/>
      <c r="CN140" s="115"/>
      <c r="CO140" s="115"/>
      <c r="CP140" s="115"/>
      <c r="CQ140" s="115"/>
      <c r="CR140" s="115"/>
    </row>
    <row r="141" spans="1:96">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c r="CG141" s="115"/>
      <c r="CH141" s="115"/>
      <c r="CI141" s="115"/>
      <c r="CJ141" s="115"/>
      <c r="CK141" s="115"/>
      <c r="CL141" s="115"/>
      <c r="CM141" s="115"/>
      <c r="CN141" s="115"/>
      <c r="CO141" s="115"/>
      <c r="CP141" s="115"/>
      <c r="CQ141" s="115"/>
      <c r="CR141" s="115"/>
    </row>
    <row r="142" spans="1:96">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c r="CI142" s="115"/>
      <c r="CJ142" s="115"/>
      <c r="CK142" s="115"/>
      <c r="CL142" s="115"/>
      <c r="CM142" s="115"/>
      <c r="CN142" s="115"/>
      <c r="CO142" s="115"/>
      <c r="CP142" s="115"/>
      <c r="CQ142" s="115"/>
      <c r="CR142" s="115"/>
    </row>
    <row r="143" spans="1:96">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c r="CG143" s="115"/>
      <c r="CH143" s="115"/>
      <c r="CI143" s="115"/>
      <c r="CJ143" s="115"/>
      <c r="CK143" s="115"/>
      <c r="CL143" s="115"/>
      <c r="CM143" s="115"/>
      <c r="CN143" s="115"/>
      <c r="CO143" s="115"/>
      <c r="CP143" s="115"/>
      <c r="CQ143" s="115"/>
      <c r="CR143" s="115"/>
    </row>
    <row r="144" spans="1:96">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c r="CG144" s="115"/>
      <c r="CH144" s="115"/>
      <c r="CI144" s="115"/>
      <c r="CJ144" s="115"/>
      <c r="CK144" s="115"/>
      <c r="CL144" s="115"/>
      <c r="CM144" s="115"/>
      <c r="CN144" s="115"/>
      <c r="CO144" s="115"/>
      <c r="CP144" s="115"/>
      <c r="CQ144" s="115"/>
      <c r="CR144" s="115"/>
    </row>
    <row r="145" spans="1:96">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row>
    <row r="146" spans="1:96">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c r="CI146" s="115"/>
      <c r="CJ146" s="115"/>
      <c r="CK146" s="115"/>
      <c r="CL146" s="115"/>
      <c r="CM146" s="115"/>
      <c r="CN146" s="115"/>
      <c r="CO146" s="115"/>
      <c r="CP146" s="115"/>
      <c r="CQ146" s="115"/>
      <c r="CR146" s="115"/>
    </row>
    <row r="147" spans="1:96">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c r="CI147" s="115"/>
      <c r="CJ147" s="115"/>
      <c r="CK147" s="115"/>
      <c r="CL147" s="115"/>
      <c r="CM147" s="115"/>
      <c r="CN147" s="115"/>
      <c r="CO147" s="115"/>
      <c r="CP147" s="115"/>
      <c r="CQ147" s="115"/>
      <c r="CR147" s="115"/>
    </row>
    <row r="148" spans="1:96">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c r="CG148" s="115"/>
      <c r="CH148" s="115"/>
      <c r="CI148" s="115"/>
      <c r="CJ148" s="115"/>
      <c r="CK148" s="115"/>
      <c r="CL148" s="115"/>
      <c r="CM148" s="115"/>
      <c r="CN148" s="115"/>
      <c r="CO148" s="115"/>
      <c r="CP148" s="115"/>
      <c r="CQ148" s="115"/>
      <c r="CR148" s="115"/>
    </row>
    <row r="149" spans="1:96">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15"/>
      <c r="CD149" s="115"/>
      <c r="CE149" s="115"/>
      <c r="CF149" s="115"/>
      <c r="CG149" s="115"/>
      <c r="CH149" s="115"/>
      <c r="CI149" s="115"/>
      <c r="CJ149" s="115"/>
      <c r="CK149" s="115"/>
      <c r="CL149" s="115"/>
      <c r="CM149" s="115"/>
      <c r="CN149" s="115"/>
      <c r="CO149" s="115"/>
      <c r="CP149" s="115"/>
      <c r="CQ149" s="115"/>
      <c r="CR149" s="115"/>
    </row>
    <row r="150" spans="1:96">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15"/>
      <c r="CD150" s="115"/>
      <c r="CE150" s="115"/>
      <c r="CF150" s="115"/>
      <c r="CG150" s="115"/>
      <c r="CH150" s="115"/>
      <c r="CI150" s="115"/>
      <c r="CJ150" s="115"/>
      <c r="CK150" s="115"/>
      <c r="CL150" s="115"/>
      <c r="CM150" s="115"/>
      <c r="CN150" s="115"/>
      <c r="CO150" s="115"/>
      <c r="CP150" s="115"/>
      <c r="CQ150" s="115"/>
      <c r="CR150" s="115"/>
    </row>
    <row r="151" spans="1:96">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c r="CG151" s="115"/>
      <c r="CH151" s="115"/>
      <c r="CI151" s="115"/>
      <c r="CJ151" s="115"/>
      <c r="CK151" s="115"/>
      <c r="CL151" s="115"/>
      <c r="CM151" s="115"/>
      <c r="CN151" s="115"/>
      <c r="CO151" s="115"/>
      <c r="CP151" s="115"/>
      <c r="CQ151" s="115"/>
      <c r="CR151" s="115"/>
    </row>
    <row r="152" spans="1:96">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c r="CG152" s="115"/>
      <c r="CH152" s="115"/>
      <c r="CI152" s="115"/>
      <c r="CJ152" s="115"/>
      <c r="CK152" s="115"/>
      <c r="CL152" s="115"/>
      <c r="CM152" s="115"/>
      <c r="CN152" s="115"/>
      <c r="CO152" s="115"/>
      <c r="CP152" s="115"/>
      <c r="CQ152" s="115"/>
      <c r="CR152" s="115"/>
    </row>
    <row r="153" spans="1:96">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c r="CG153" s="115"/>
      <c r="CH153" s="115"/>
      <c r="CI153" s="115"/>
      <c r="CJ153" s="115"/>
      <c r="CK153" s="115"/>
      <c r="CL153" s="115"/>
      <c r="CM153" s="115"/>
      <c r="CN153" s="115"/>
      <c r="CO153" s="115"/>
      <c r="CP153" s="115"/>
      <c r="CQ153" s="115"/>
      <c r="CR153" s="115"/>
    </row>
    <row r="154" spans="1:96">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c r="CI154" s="115"/>
      <c r="CJ154" s="115"/>
      <c r="CK154" s="115"/>
      <c r="CL154" s="115"/>
      <c r="CM154" s="115"/>
      <c r="CN154" s="115"/>
      <c r="CO154" s="115"/>
      <c r="CP154" s="115"/>
      <c r="CQ154" s="115"/>
      <c r="CR154" s="115"/>
    </row>
    <row r="155" spans="1:96">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c r="CG155" s="115"/>
      <c r="CH155" s="115"/>
      <c r="CI155" s="115"/>
      <c r="CJ155" s="115"/>
      <c r="CK155" s="115"/>
      <c r="CL155" s="115"/>
      <c r="CM155" s="115"/>
      <c r="CN155" s="115"/>
      <c r="CO155" s="115"/>
      <c r="CP155" s="115"/>
      <c r="CQ155" s="115"/>
      <c r="CR155" s="115"/>
    </row>
    <row r="156" spans="1:96">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c r="CG156" s="115"/>
      <c r="CH156" s="115"/>
      <c r="CI156" s="115"/>
      <c r="CJ156" s="115"/>
      <c r="CK156" s="115"/>
      <c r="CL156" s="115"/>
      <c r="CM156" s="115"/>
      <c r="CN156" s="115"/>
      <c r="CO156" s="115"/>
      <c r="CP156" s="115"/>
      <c r="CQ156" s="115"/>
      <c r="CR156" s="115"/>
    </row>
    <row r="157" spans="1:96">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c r="CG157" s="115"/>
      <c r="CH157" s="115"/>
      <c r="CI157" s="115"/>
      <c r="CJ157" s="115"/>
      <c r="CK157" s="115"/>
      <c r="CL157" s="115"/>
      <c r="CM157" s="115"/>
      <c r="CN157" s="115"/>
      <c r="CO157" s="115"/>
      <c r="CP157" s="115"/>
      <c r="CQ157" s="115"/>
      <c r="CR157" s="115"/>
    </row>
    <row r="158" spans="1:96">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c r="CG158" s="115"/>
      <c r="CH158" s="115"/>
      <c r="CI158" s="115"/>
      <c r="CJ158" s="115"/>
      <c r="CK158" s="115"/>
      <c r="CL158" s="115"/>
      <c r="CM158" s="115"/>
      <c r="CN158" s="115"/>
      <c r="CO158" s="115"/>
      <c r="CP158" s="115"/>
      <c r="CQ158" s="115"/>
      <c r="CR158" s="115"/>
    </row>
    <row r="159" spans="1:96">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c r="CG159" s="115"/>
      <c r="CH159" s="115"/>
      <c r="CI159" s="115"/>
      <c r="CJ159" s="115"/>
      <c r="CK159" s="115"/>
      <c r="CL159" s="115"/>
      <c r="CM159" s="115"/>
      <c r="CN159" s="115"/>
      <c r="CO159" s="115"/>
      <c r="CP159" s="115"/>
      <c r="CQ159" s="115"/>
      <c r="CR159" s="115"/>
    </row>
    <row r="160" spans="1:96">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15"/>
      <c r="CD160" s="115"/>
      <c r="CE160" s="115"/>
      <c r="CF160" s="115"/>
      <c r="CG160" s="115"/>
      <c r="CH160" s="115"/>
      <c r="CI160" s="115"/>
      <c r="CJ160" s="115"/>
      <c r="CK160" s="115"/>
      <c r="CL160" s="115"/>
      <c r="CM160" s="115"/>
      <c r="CN160" s="115"/>
      <c r="CO160" s="115"/>
      <c r="CP160" s="115"/>
      <c r="CQ160" s="115"/>
      <c r="CR160" s="115"/>
    </row>
    <row r="161" spans="1:96">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c r="CG161" s="115"/>
      <c r="CH161" s="115"/>
      <c r="CI161" s="115"/>
      <c r="CJ161" s="115"/>
      <c r="CK161" s="115"/>
      <c r="CL161" s="115"/>
      <c r="CM161" s="115"/>
      <c r="CN161" s="115"/>
      <c r="CO161" s="115"/>
      <c r="CP161" s="115"/>
      <c r="CQ161" s="115"/>
      <c r="CR161" s="115"/>
    </row>
  </sheetData>
  <sheetProtection algorithmName="SHA-512" hashValue="cKsrhkXMLsh4vMNfVxYw5dFy6odREP7AucvFRwWHSaAdy5SvdtebYZIwiqTTLIsnFlnmBwA84/CgMJMFr/dArg==" saltValue="yYYuH/Dh8XKoMz2ykE+PHg==" spinCount="100000" sheet="1" insertColumns="0" insertRows="0" deleteColumns="0" deleteRows="0" selectLockedCells="1"/>
  <autoFilter ref="C26:Q100" xr:uid="{38225837-4128-41EC-A387-D46CF1722759}">
    <filterColumn colId="5">
      <filters blank="1">
        <filter val="-"/>
      </filters>
    </filterColumn>
  </autoFilter>
  <mergeCells count="61">
    <mergeCell ref="AW8:AW9"/>
    <mergeCell ref="AX8:AX9"/>
    <mergeCell ref="AZ8:AZ9"/>
    <mergeCell ref="AC7:AC9"/>
    <mergeCell ref="AY8:AY9"/>
    <mergeCell ref="B8:B9"/>
    <mergeCell ref="C8:C9"/>
    <mergeCell ref="D7:D9"/>
    <mergeCell ref="S8:S9"/>
    <mergeCell ref="AV7:AV9"/>
    <mergeCell ref="AJ7:AJ9"/>
    <mergeCell ref="AK7:AK9"/>
    <mergeCell ref="AE7:AE9"/>
    <mergeCell ref="H7:H9"/>
    <mergeCell ref="AT7:AT9"/>
    <mergeCell ref="AU7:AU9"/>
    <mergeCell ref="AR7:AR9"/>
    <mergeCell ref="AL7:AL9"/>
    <mergeCell ref="T7:T9"/>
    <mergeCell ref="D6:G6"/>
    <mergeCell ref="I7:I9"/>
    <mergeCell ref="J7:J9"/>
    <mergeCell ref="U7:U9"/>
    <mergeCell ref="V7:V9"/>
    <mergeCell ref="O7:O9"/>
    <mergeCell ref="P7:P9"/>
    <mergeCell ref="R7:R9"/>
    <mergeCell ref="L7:L9"/>
    <mergeCell ref="M7:M9"/>
    <mergeCell ref="H6:K6"/>
    <mergeCell ref="Y6:AB6"/>
    <mergeCell ref="L6:O6"/>
    <mergeCell ref="P6:V6"/>
    <mergeCell ref="AP7:AP9"/>
    <mergeCell ref="AO7:AO9"/>
    <mergeCell ref="AG7:AG9"/>
    <mergeCell ref="AH7:AH9"/>
    <mergeCell ref="AI7:AI9"/>
    <mergeCell ref="AM6:AM9"/>
    <mergeCell ref="AN7:AN9"/>
    <mergeCell ref="W9:X9"/>
    <mergeCell ref="Z9:AA9"/>
    <mergeCell ref="W7:Y8"/>
    <mergeCell ref="Z7:AB8"/>
    <mergeCell ref="AF7:AF9"/>
    <mergeCell ref="BA8:BA9"/>
    <mergeCell ref="BB8:BB9"/>
    <mergeCell ref="C116:C119"/>
    <mergeCell ref="D116:G119"/>
    <mergeCell ref="Q116:Q120"/>
    <mergeCell ref="AD7:AD9"/>
    <mergeCell ref="E23:J23"/>
    <mergeCell ref="G7:G9"/>
    <mergeCell ref="E7:E9"/>
    <mergeCell ref="F7:F9"/>
    <mergeCell ref="N7:N9"/>
    <mergeCell ref="K7:K9"/>
    <mergeCell ref="E24:G25"/>
    <mergeCell ref="AD117:AL117"/>
    <mergeCell ref="H24:J25"/>
    <mergeCell ref="AS7:AS9"/>
  </mergeCells>
  <conditionalFormatting sqref="H11:K18">
    <cfRule type="expression" dxfId="30" priority="35" stopIfTrue="1">
      <formula>IF($D11="New Construction", TRUE, FALSE)</formula>
    </cfRule>
  </conditionalFormatting>
  <conditionalFormatting sqref="S11:S18">
    <cfRule type="expression" dxfId="29" priority="2">
      <formula>IF(AND(L11="",S11=""),FALSE,IF(AND(L11&gt;0,S11=""),TRUE,IF(AND(L11&gt;0,S11&gt;0),FALSE,FALSE)))</formula>
    </cfRule>
  </conditionalFormatting>
  <conditionalFormatting sqref="Z11:AB18">
    <cfRule type="expression" dxfId="28" priority="27">
      <formula>IF($AL11="-", TRUE, FALSE)</formula>
    </cfRule>
  </conditionalFormatting>
  <conditionalFormatting sqref="AB11:AB18">
    <cfRule type="expression" dxfId="27" priority="28">
      <formula>IF(AND($Y11&lt;&gt;"", $AB11=""), TRUE, FALSE)</formula>
    </cfRule>
  </conditionalFormatting>
  <conditionalFormatting sqref="AM11:AQ18">
    <cfRule type="expression" dxfId="26" priority="25" stopIfTrue="1">
      <formula>IF($AS11="No", TRUE, FALSE)</formula>
    </cfRule>
  </conditionalFormatting>
  <conditionalFormatting sqref="AS11:AS18">
    <cfRule type="expression" dxfId="25" priority="26">
      <formula>IF($AS11="No", TRUE, FALSE)</formula>
    </cfRule>
  </conditionalFormatting>
  <dataValidations count="7">
    <dataValidation type="list" allowBlank="1" showInputMessage="1" showErrorMessage="1" sqref="F11:F18" xr:uid="{00000000-0002-0000-0400-000001000000}">
      <formula1>Zip_Code</formula1>
    </dataValidation>
    <dataValidation type="list" allowBlank="1" showInputMessage="1" showErrorMessage="1" sqref="M11:M18" xr:uid="{00000000-0002-0000-0400-000002000000}">
      <formula1>$C$107:$C$112</formula1>
    </dataValidation>
    <dataValidation type="decimal" allowBlank="1" showInputMessage="1" showErrorMessage="1" sqref="Y11:Y18 AB11:AB18" xr:uid="{00000000-0002-0000-0400-000004000000}">
      <formula1>0</formula1>
      <formula2>35</formula2>
    </dataValidation>
    <dataValidation type="list" allowBlank="1" showInputMessage="1" showErrorMessage="1" sqref="E11:E18" xr:uid="{00000000-0002-0000-0400-000005000000}">
      <formula1>Facility_Types</formula1>
    </dataValidation>
    <dataValidation type="list" allowBlank="1" showInputMessage="1" showErrorMessage="1" sqref="N11:N18" xr:uid="{00000000-0002-0000-0400-000003000000}">
      <formula1>$D$107:$D$111</formula1>
    </dataValidation>
    <dataValidation type="list" allowBlank="1" showInputMessage="1" showErrorMessage="1" sqref="D11:D18" xr:uid="{37B1C331-BABE-4E72-8173-7B5E7CC44502}">
      <formula1>Project_Type</formula1>
    </dataValidation>
    <dataValidation type="list" allowBlank="1" showInputMessage="1" showErrorMessage="1" sqref="T11:T18" xr:uid="{7BE2351C-A576-43EF-8B69-72E4FDB76006}">
      <formula1>"Single, Three"</formula1>
    </dataValidation>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047ED-D5F9-4415-A91E-594D11102F60}">
  <sheetPr codeName="Sheet5">
    <tabColor rgb="FFFFFF00"/>
  </sheetPr>
  <dimension ref="V6:V20"/>
  <sheetViews>
    <sheetView workbookViewId="0"/>
  </sheetViews>
  <sheetFormatPr defaultRowHeight="15"/>
  <sheetData>
    <row r="6" spans="22:22">
      <c r="V6" t="s">
        <v>319</v>
      </c>
    </row>
    <row r="7" spans="22:22">
      <c r="V7" t="s">
        <v>319</v>
      </c>
    </row>
    <row r="8" spans="22:22">
      <c r="V8" t="s">
        <v>320</v>
      </c>
    </row>
    <row r="9" spans="22:22">
      <c r="V9" t="s">
        <v>320</v>
      </c>
    </row>
    <row r="10" spans="22:22">
      <c r="V10" t="s">
        <v>321</v>
      </c>
    </row>
    <row r="11" spans="22:22">
      <c r="V11" t="s">
        <v>321</v>
      </c>
    </row>
    <row r="12" spans="22:22">
      <c r="V12" t="s">
        <v>319</v>
      </c>
    </row>
    <row r="13" spans="22:22">
      <c r="V13" t="s">
        <v>319</v>
      </c>
    </row>
    <row r="14" spans="22:22">
      <c r="V14" t="s">
        <v>319</v>
      </c>
    </row>
    <row r="15" spans="22:22">
      <c r="V15" t="s">
        <v>319</v>
      </c>
    </row>
    <row r="16" spans="22:22">
      <c r="V16" t="s">
        <v>319</v>
      </c>
    </row>
    <row r="17" spans="22:22">
      <c r="V17" t="s">
        <v>319</v>
      </c>
    </row>
    <row r="18" spans="22:22">
      <c r="V18" t="s">
        <v>319</v>
      </c>
    </row>
    <row r="19" spans="22:22">
      <c r="V19" t="s">
        <v>319</v>
      </c>
    </row>
    <row r="20" spans="22:22">
      <c r="V20" t="s">
        <v>322</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61B7F-37D5-4495-92B6-03E6742DD2C6}">
  <sheetPr codeName="Sheet15"/>
  <dimension ref="A1:DD283"/>
  <sheetViews>
    <sheetView zoomScale="80" zoomScaleNormal="80" workbookViewId="0">
      <selection activeCell="D11" sqref="D11"/>
    </sheetView>
  </sheetViews>
  <sheetFormatPr defaultRowHeight="15"/>
  <cols>
    <col min="1" max="1" width="1.42578125" customWidth="1"/>
    <col min="2" max="2" width="6.85546875" customWidth="1"/>
    <col min="3" max="3" width="33.85546875" customWidth="1"/>
    <col min="4" max="4" width="38.85546875" bestFit="1" customWidth="1"/>
    <col min="5" max="5" width="35.85546875" bestFit="1" customWidth="1"/>
    <col min="6" max="6" width="17" customWidth="1"/>
    <col min="7" max="7" width="14.28515625" customWidth="1"/>
    <col min="8" max="13" width="16.42578125" customWidth="1"/>
    <col min="14" max="14" width="10.140625" customWidth="1"/>
    <col min="15" max="15" width="34.5703125" bestFit="1" customWidth="1"/>
    <col min="16" max="18" width="14.85546875" customWidth="1"/>
    <col min="19" max="21" width="12.28515625" customWidth="1"/>
    <col min="22" max="22" width="15.7109375" customWidth="1"/>
    <col min="23" max="23" width="12.42578125" customWidth="1"/>
    <col min="24" max="24" width="9.42578125" customWidth="1"/>
    <col min="25" max="25" width="8.42578125" customWidth="1"/>
    <col min="26" max="26" width="14.5703125" customWidth="1"/>
    <col min="27" max="28" width="9.5703125" customWidth="1"/>
    <col min="29" max="29" width="11.5703125" customWidth="1"/>
    <col min="30" max="30" width="12.28515625" customWidth="1"/>
    <col min="31" max="31" width="12.42578125" customWidth="1"/>
    <col min="32" max="32" width="8.140625" customWidth="1"/>
    <col min="33" max="33" width="9.7109375" customWidth="1"/>
    <col min="34" max="34" width="12" bestFit="1" customWidth="1"/>
    <col min="35" max="37" width="12" hidden="1" customWidth="1"/>
    <col min="38" max="38" width="9.7109375" hidden="1" customWidth="1"/>
    <col min="39" max="39" width="7.28515625" hidden="1" customWidth="1"/>
    <col min="40" max="40" width="16.28515625" hidden="1" customWidth="1"/>
    <col min="41" max="51" width="10.140625" hidden="1" customWidth="1"/>
    <col min="52" max="52" width="15.140625" customWidth="1"/>
    <col min="53" max="53" width="13" customWidth="1"/>
    <col min="54" max="55" width="10.140625" hidden="1" customWidth="1"/>
    <col min="56" max="56" width="17.5703125" customWidth="1"/>
    <col min="57" max="57" width="18.85546875" hidden="1" customWidth="1"/>
    <col min="58" max="58" width="14.85546875" bestFit="1" customWidth="1"/>
    <col min="59" max="59" width="47" hidden="1" customWidth="1"/>
    <col min="60" max="60" width="13.5703125" customWidth="1"/>
    <col min="61" max="61" width="13.85546875" bestFit="1" customWidth="1"/>
    <col min="62" max="62" width="66.7109375" hidden="1" customWidth="1"/>
    <col min="63" max="63" width="27" hidden="1" customWidth="1"/>
    <col min="64" max="64" width="33.42578125" hidden="1" customWidth="1"/>
    <col min="65" max="65" width="19.28515625" hidden="1" customWidth="1"/>
    <col min="66" max="66" width="22.7109375" hidden="1" customWidth="1"/>
    <col min="67" max="67" width="20.85546875" hidden="1" customWidth="1"/>
    <col min="68" max="68" width="22.85546875" hidden="1" customWidth="1"/>
    <col min="69" max="69" width="21.5703125" hidden="1" customWidth="1"/>
    <col min="70" max="70" width="32.85546875" bestFit="1" customWidth="1"/>
  </cols>
  <sheetData>
    <row r="1" spans="1:107" ht="29.25" customHeight="1">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94" t="s">
        <v>323</v>
      </c>
      <c r="BN1" s="11"/>
      <c r="BO1" s="11"/>
      <c r="BP1" s="11"/>
      <c r="BQ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row>
    <row r="2" spans="1:107" ht="29.25" customHeight="1">
      <c r="A2" s="11"/>
      <c r="B2" s="11"/>
      <c r="C2" s="11"/>
      <c r="D2" s="11"/>
      <c r="E2" s="11"/>
      <c r="F2" s="11"/>
      <c r="G2" s="11"/>
      <c r="H2" s="11"/>
      <c r="I2" s="11"/>
      <c r="J2" s="11"/>
      <c r="K2" s="11"/>
      <c r="L2" s="11"/>
      <c r="M2" s="11"/>
      <c r="N2" s="11"/>
      <c r="O2" s="11"/>
      <c r="P2" s="11"/>
      <c r="Q2" s="11"/>
      <c r="R2" s="1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row>
    <row r="3" spans="1:107" ht="29.25" customHeight="1">
      <c r="A3" s="11"/>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row>
    <row r="4" spans="1:107" ht="29.25" customHeight="1">
      <c r="A4" s="11"/>
      <c r="B4" s="164"/>
      <c r="C4" s="164"/>
      <c r="D4" s="164"/>
      <c r="E4" s="164"/>
      <c r="F4" s="164"/>
      <c r="G4" s="164"/>
      <c r="H4" s="164"/>
      <c r="I4" s="164"/>
      <c r="J4" s="164"/>
      <c r="K4" s="164"/>
      <c r="L4" s="164"/>
      <c r="M4" s="164"/>
      <c r="N4" s="164"/>
      <c r="O4" s="164"/>
      <c r="P4" s="164"/>
      <c r="Q4" s="164"/>
      <c r="R4" s="164"/>
      <c r="S4" s="191"/>
      <c r="T4" s="191"/>
      <c r="U4" s="191"/>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64"/>
      <c r="BI4" s="164"/>
      <c r="BJ4" s="164"/>
      <c r="BK4" s="164"/>
      <c r="BL4" s="164"/>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row>
    <row r="5" spans="1:107" ht="1.5" customHeight="1" thickBo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row>
    <row r="6" spans="1:107" ht="14.25" customHeight="1">
      <c r="A6" s="11"/>
      <c r="B6" s="192"/>
      <c r="C6" s="192"/>
      <c r="D6" s="732" t="s">
        <v>112</v>
      </c>
      <c r="E6" s="727"/>
      <c r="F6" s="727"/>
      <c r="G6" s="727"/>
      <c r="H6" s="732" t="s">
        <v>324</v>
      </c>
      <c r="I6" s="727"/>
      <c r="J6" s="727"/>
      <c r="K6" s="727"/>
      <c r="L6" s="487"/>
      <c r="M6" s="220"/>
      <c r="N6" s="727" t="s">
        <v>114</v>
      </c>
      <c r="O6" s="727"/>
      <c r="P6" s="727"/>
      <c r="Q6" s="727"/>
      <c r="R6" s="493"/>
      <c r="S6" s="734"/>
      <c r="T6" s="734"/>
      <c r="U6" s="734"/>
      <c r="V6" s="734"/>
      <c r="W6" s="734"/>
      <c r="X6" s="734"/>
      <c r="Y6" s="734"/>
      <c r="Z6" s="734"/>
      <c r="AA6" s="734"/>
      <c r="AB6" s="734"/>
      <c r="AC6" s="734"/>
      <c r="AD6" s="487"/>
      <c r="AE6" s="487"/>
      <c r="AF6" s="487"/>
      <c r="AG6" s="487"/>
      <c r="AH6" s="220"/>
      <c r="AI6" s="698" t="s">
        <v>193</v>
      </c>
      <c r="AJ6" s="698" t="s">
        <v>325</v>
      </c>
      <c r="AK6" s="698" t="s">
        <v>326</v>
      </c>
      <c r="AL6" s="147"/>
      <c r="AM6" s="147"/>
      <c r="AN6" s="147"/>
      <c r="AO6" s="147"/>
      <c r="AP6" s="147"/>
      <c r="AQ6" s="147"/>
      <c r="AR6" s="147"/>
      <c r="AS6" s="147"/>
      <c r="AT6" s="147"/>
      <c r="AU6" s="147"/>
      <c r="AV6" s="147"/>
      <c r="AW6" s="147"/>
      <c r="AX6" s="147"/>
      <c r="AY6" s="147"/>
      <c r="AZ6" s="150"/>
      <c r="BA6" s="150"/>
      <c r="BB6" s="147"/>
      <c r="BC6" s="147"/>
      <c r="BD6" s="150"/>
      <c r="BE6" s="147"/>
      <c r="BF6" s="150"/>
      <c r="BG6" s="147"/>
      <c r="BH6" s="150"/>
      <c r="BI6" s="150"/>
      <c r="BJ6" s="147"/>
      <c r="BK6" s="147"/>
      <c r="BL6" s="147"/>
      <c r="BM6" s="584" t="s">
        <v>328</v>
      </c>
      <c r="BN6" s="585" t="s">
        <v>328</v>
      </c>
      <c r="BO6" s="585" t="s">
        <v>328</v>
      </c>
      <c r="BP6" s="585" t="s">
        <v>328</v>
      </c>
      <c r="BQ6" s="586" t="s">
        <v>328</v>
      </c>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row>
    <row r="7" spans="1:107" ht="17.25" customHeight="1">
      <c r="A7" s="11"/>
      <c r="B7" s="696" t="s">
        <v>64</v>
      </c>
      <c r="C7" s="696" t="s">
        <v>65</v>
      </c>
      <c r="D7" s="214"/>
      <c r="E7" s="150"/>
      <c r="F7" s="150"/>
      <c r="G7" s="150"/>
      <c r="H7" s="719" t="s">
        <v>329</v>
      </c>
      <c r="I7" s="696" t="s">
        <v>330</v>
      </c>
      <c r="J7" s="696" t="s">
        <v>331</v>
      </c>
      <c r="K7" s="696" t="s">
        <v>332</v>
      </c>
      <c r="L7" s="696" t="s">
        <v>333</v>
      </c>
      <c r="M7" s="712" t="s">
        <v>334</v>
      </c>
      <c r="N7" s="696" t="s">
        <v>136</v>
      </c>
      <c r="O7" s="696" t="s">
        <v>335</v>
      </c>
      <c r="P7" s="696" t="s">
        <v>336</v>
      </c>
      <c r="Q7" s="696" t="s">
        <v>337</v>
      </c>
      <c r="R7" s="457"/>
      <c r="S7" s="696" t="s">
        <v>139</v>
      </c>
      <c r="T7" s="696" t="s">
        <v>203</v>
      </c>
      <c r="U7" s="696" t="s">
        <v>189</v>
      </c>
      <c r="V7" s="696" t="s">
        <v>338</v>
      </c>
      <c r="W7" s="696" t="s">
        <v>339</v>
      </c>
      <c r="X7" s="719" t="s">
        <v>340</v>
      </c>
      <c r="Y7" s="696"/>
      <c r="Z7" s="712"/>
      <c r="AA7" s="763" t="s">
        <v>341</v>
      </c>
      <c r="AB7" s="764"/>
      <c r="AC7" s="765"/>
      <c r="AD7" s="696" t="s">
        <v>342</v>
      </c>
      <c r="AE7" s="712" t="s">
        <v>343</v>
      </c>
      <c r="AF7" s="719" t="s">
        <v>344</v>
      </c>
      <c r="AG7" s="696"/>
      <c r="AH7" s="712"/>
      <c r="AI7" s="698"/>
      <c r="AJ7" s="698"/>
      <c r="AK7" s="698"/>
      <c r="AL7" s="698" t="s">
        <v>345</v>
      </c>
      <c r="AM7" s="698" t="s">
        <v>346</v>
      </c>
      <c r="AN7" s="698" t="s">
        <v>81</v>
      </c>
      <c r="AO7" s="762" t="s">
        <v>195</v>
      </c>
      <c r="AP7" s="698" t="s">
        <v>196</v>
      </c>
      <c r="AQ7" s="698" t="s">
        <v>197</v>
      </c>
      <c r="AR7" s="698" t="s">
        <v>198</v>
      </c>
      <c r="AS7" s="698" t="s">
        <v>347</v>
      </c>
      <c r="AT7" s="698" t="s">
        <v>348</v>
      </c>
      <c r="AU7" s="698" t="s">
        <v>199</v>
      </c>
      <c r="AV7" s="698" t="s">
        <v>349</v>
      </c>
      <c r="AW7" s="698" t="s">
        <v>201</v>
      </c>
      <c r="AX7" s="698" t="s">
        <v>350</v>
      </c>
      <c r="AY7" s="698" t="s">
        <v>351</v>
      </c>
      <c r="AZ7" s="696" t="s">
        <v>327</v>
      </c>
      <c r="BA7" s="696" t="s">
        <v>87</v>
      </c>
      <c r="BB7" s="698" t="s">
        <v>352</v>
      </c>
      <c r="BC7" s="698" t="s">
        <v>353</v>
      </c>
      <c r="BD7" s="696" t="s">
        <v>88</v>
      </c>
      <c r="BE7" s="698" t="s">
        <v>204</v>
      </c>
      <c r="BF7" s="696" t="s">
        <v>89</v>
      </c>
      <c r="BG7" s="698" t="s">
        <v>90</v>
      </c>
      <c r="BH7" s="696" t="s">
        <v>91</v>
      </c>
      <c r="BI7" s="457"/>
      <c r="BJ7" s="698" t="s">
        <v>132</v>
      </c>
      <c r="BK7" s="698" t="s">
        <v>133</v>
      </c>
      <c r="BL7" s="698" t="s">
        <v>134</v>
      </c>
      <c r="BM7" s="587"/>
      <c r="BN7" s="582"/>
      <c r="BO7" s="582"/>
      <c r="BP7" s="582"/>
      <c r="BQ7" s="588"/>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row>
    <row r="8" spans="1:107" ht="28.5" customHeight="1">
      <c r="A8" s="11"/>
      <c r="B8" s="696"/>
      <c r="C8" s="696"/>
      <c r="D8" s="719" t="s">
        <v>115</v>
      </c>
      <c r="E8" s="696" t="s">
        <v>116</v>
      </c>
      <c r="F8" s="696" t="s">
        <v>117</v>
      </c>
      <c r="G8" s="696" t="s">
        <v>118</v>
      </c>
      <c r="H8" s="719"/>
      <c r="I8" s="696"/>
      <c r="J8" s="696"/>
      <c r="K8" s="696"/>
      <c r="L8" s="696"/>
      <c r="M8" s="712"/>
      <c r="N8" s="696"/>
      <c r="O8" s="696"/>
      <c r="P8" s="696"/>
      <c r="Q8" s="696"/>
      <c r="R8" s="457" t="s">
        <v>354</v>
      </c>
      <c r="S8" s="696"/>
      <c r="T8" s="696"/>
      <c r="U8" s="696"/>
      <c r="V8" s="696"/>
      <c r="W8" s="696"/>
      <c r="X8" s="719"/>
      <c r="Y8" s="696"/>
      <c r="Z8" s="712"/>
      <c r="AA8" s="763"/>
      <c r="AB8" s="764"/>
      <c r="AC8" s="765"/>
      <c r="AD8" s="696"/>
      <c r="AE8" s="712"/>
      <c r="AF8" s="719"/>
      <c r="AG8" s="696"/>
      <c r="AH8" s="712"/>
      <c r="AI8" s="698"/>
      <c r="AJ8" s="698"/>
      <c r="AK8" s="698"/>
      <c r="AL8" s="698"/>
      <c r="AM8" s="698"/>
      <c r="AN8" s="698"/>
      <c r="AO8" s="762"/>
      <c r="AP8" s="698"/>
      <c r="AQ8" s="698"/>
      <c r="AR8" s="698"/>
      <c r="AS8" s="698"/>
      <c r="AT8" s="698"/>
      <c r="AU8" s="698"/>
      <c r="AV8" s="698"/>
      <c r="AW8" s="698"/>
      <c r="AX8" s="698"/>
      <c r="AY8" s="698"/>
      <c r="AZ8" s="696"/>
      <c r="BA8" s="696"/>
      <c r="BB8" s="698"/>
      <c r="BC8" s="698"/>
      <c r="BD8" s="696"/>
      <c r="BE8" s="698"/>
      <c r="BF8" s="696"/>
      <c r="BG8" s="698"/>
      <c r="BH8" s="696"/>
      <c r="BI8" s="457" t="s">
        <v>355</v>
      </c>
      <c r="BJ8" s="698"/>
      <c r="BK8" s="698"/>
      <c r="BL8" s="698"/>
      <c r="BM8" s="759" t="s">
        <v>207</v>
      </c>
      <c r="BN8" s="759" t="s">
        <v>208</v>
      </c>
      <c r="BO8" s="759" t="s">
        <v>356</v>
      </c>
      <c r="BP8" s="759" t="s">
        <v>209</v>
      </c>
      <c r="BQ8" s="759" t="s">
        <v>210</v>
      </c>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row>
    <row r="9" spans="1:107" ht="23.25" customHeight="1">
      <c r="A9" s="11"/>
      <c r="B9" s="696"/>
      <c r="C9" s="696"/>
      <c r="D9" s="723"/>
      <c r="E9" s="724"/>
      <c r="F9" s="724"/>
      <c r="G9" s="724"/>
      <c r="H9" s="723"/>
      <c r="I9" s="724"/>
      <c r="J9" s="724"/>
      <c r="K9" s="724"/>
      <c r="L9" s="724"/>
      <c r="M9" s="742"/>
      <c r="N9" s="724"/>
      <c r="O9" s="724"/>
      <c r="P9" s="724"/>
      <c r="Q9" s="724"/>
      <c r="R9" s="477"/>
      <c r="S9" s="724"/>
      <c r="T9" s="696"/>
      <c r="U9" s="724"/>
      <c r="V9" s="724"/>
      <c r="W9" s="724"/>
      <c r="X9" s="723" t="s">
        <v>92</v>
      </c>
      <c r="Y9" s="724"/>
      <c r="Z9" s="215" t="s">
        <v>93</v>
      </c>
      <c r="AA9" s="723" t="s">
        <v>92</v>
      </c>
      <c r="AB9" s="724"/>
      <c r="AC9" s="215" t="s">
        <v>93</v>
      </c>
      <c r="AD9" s="724"/>
      <c r="AE9" s="742"/>
      <c r="AF9" s="723" t="s">
        <v>92</v>
      </c>
      <c r="AG9" s="742"/>
      <c r="AH9" s="461" t="s">
        <v>93</v>
      </c>
      <c r="AI9" s="760"/>
      <c r="AJ9" s="760"/>
      <c r="AK9" s="760"/>
      <c r="AL9" s="698"/>
      <c r="AM9" s="698"/>
      <c r="AN9" s="698"/>
      <c r="AO9" s="762"/>
      <c r="AP9" s="698"/>
      <c r="AQ9" s="698"/>
      <c r="AR9" s="698"/>
      <c r="AS9" s="698"/>
      <c r="AT9" s="698"/>
      <c r="AU9" s="698"/>
      <c r="AV9" s="698"/>
      <c r="AW9" s="698"/>
      <c r="AX9" s="698"/>
      <c r="AY9" s="698"/>
      <c r="AZ9" s="696"/>
      <c r="BA9" s="696"/>
      <c r="BB9" s="698"/>
      <c r="BC9" s="698"/>
      <c r="BD9" s="696"/>
      <c r="BE9" s="698"/>
      <c r="BF9" s="696"/>
      <c r="BG9" s="698"/>
      <c r="BH9" s="696"/>
      <c r="BI9" s="457"/>
      <c r="BJ9" s="698"/>
      <c r="BK9" s="698"/>
      <c r="BL9" s="698"/>
      <c r="BM9" s="759"/>
      <c r="BN9" s="759"/>
      <c r="BO9" s="759"/>
      <c r="BP9" s="759"/>
      <c r="BQ9" s="759"/>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row>
    <row r="10" spans="1:107" s="486" customFormat="1" ht="25.5" hidden="1" customHeight="1">
      <c r="A10" s="484"/>
      <c r="B10" s="481" t="s">
        <v>211</v>
      </c>
      <c r="C10" s="481"/>
      <c r="D10" s="483" t="s">
        <v>212</v>
      </c>
      <c r="E10" s="483" t="s">
        <v>213</v>
      </c>
      <c r="F10" s="483"/>
      <c r="G10" s="483"/>
      <c r="H10" s="483" t="s">
        <v>214</v>
      </c>
      <c r="I10" s="483" t="s">
        <v>215</v>
      </c>
      <c r="J10" s="483" t="s">
        <v>216</v>
      </c>
      <c r="K10" s="483" t="s">
        <v>217</v>
      </c>
      <c r="L10" s="483" t="s">
        <v>357</v>
      </c>
      <c r="M10" s="483" t="s">
        <v>358</v>
      </c>
      <c r="N10" s="483" t="s">
        <v>42</v>
      </c>
      <c r="O10" s="483" t="s">
        <v>359</v>
      </c>
      <c r="P10" s="483" t="s">
        <v>137</v>
      </c>
      <c r="Q10" s="483" t="s">
        <v>220</v>
      </c>
      <c r="R10" s="483" t="s">
        <v>221</v>
      </c>
      <c r="S10" s="483" t="s">
        <v>222</v>
      </c>
      <c r="T10" s="483" t="s">
        <v>223</v>
      </c>
      <c r="U10" s="483"/>
      <c r="V10" s="483" t="s">
        <v>224</v>
      </c>
      <c r="W10" s="483"/>
      <c r="X10" s="483"/>
      <c r="Y10" s="483"/>
      <c r="Z10" s="483" t="s">
        <v>205</v>
      </c>
      <c r="AA10" s="483"/>
      <c r="AB10" s="483"/>
      <c r="AC10" s="483" t="s">
        <v>225</v>
      </c>
      <c r="AD10" s="483" t="s">
        <v>360</v>
      </c>
      <c r="AE10" s="483"/>
      <c r="AF10" s="483"/>
      <c r="AG10" s="483"/>
      <c r="AH10" s="483" t="s">
        <v>361</v>
      </c>
      <c r="AI10" s="483"/>
      <c r="AJ10" s="483"/>
      <c r="AK10" s="483"/>
      <c r="AL10" s="481"/>
      <c r="AM10" s="481"/>
      <c r="AN10" s="481"/>
      <c r="AO10" s="485"/>
      <c r="AP10" s="481"/>
      <c r="AQ10" s="481"/>
      <c r="AR10" s="481"/>
      <c r="AS10" s="481"/>
      <c r="AT10" s="481"/>
      <c r="AU10" s="481"/>
      <c r="AV10" s="481"/>
      <c r="AW10" s="481"/>
      <c r="AX10" s="481"/>
      <c r="AY10" s="481"/>
      <c r="AZ10" s="481" t="s">
        <v>226</v>
      </c>
      <c r="BA10" s="481" t="s">
        <v>227</v>
      </c>
      <c r="BB10" s="481"/>
      <c r="BC10" s="481"/>
      <c r="BD10" s="481" t="s">
        <v>228</v>
      </c>
      <c r="BE10" s="481" t="s">
        <v>230</v>
      </c>
      <c r="BF10" s="481" t="s">
        <v>229</v>
      </c>
      <c r="BG10" s="481"/>
      <c r="BH10" s="481" t="s">
        <v>231</v>
      </c>
      <c r="BI10" s="481"/>
      <c r="BJ10" s="481"/>
      <c r="BK10" s="481"/>
      <c r="BL10" s="481" t="s">
        <v>232</v>
      </c>
      <c r="BM10" s="589" t="s">
        <v>234</v>
      </c>
      <c r="BN10" s="583" t="s">
        <v>235</v>
      </c>
      <c r="BO10" s="583" t="s">
        <v>362</v>
      </c>
      <c r="BP10" s="583" t="s">
        <v>236</v>
      </c>
      <c r="BQ10" s="590" t="s">
        <v>210</v>
      </c>
      <c r="BR10" s="484"/>
      <c r="BS10" s="484"/>
      <c r="BT10" s="484"/>
      <c r="BU10" s="484"/>
      <c r="BV10" s="484"/>
      <c r="BW10" s="484"/>
      <c r="BX10" s="484"/>
      <c r="BY10" s="484"/>
      <c r="BZ10" s="484"/>
      <c r="CA10" s="484"/>
      <c r="CB10" s="484"/>
      <c r="CC10" s="484"/>
      <c r="CD10" s="484"/>
      <c r="CE10" s="484"/>
      <c r="CF10" s="484"/>
      <c r="CG10" s="484"/>
      <c r="CH10" s="484"/>
      <c r="CI10" s="484"/>
      <c r="CJ10" s="484"/>
      <c r="CK10" s="484"/>
      <c r="CL10" s="484"/>
      <c r="CM10" s="484"/>
      <c r="CN10" s="484"/>
      <c r="CO10" s="484"/>
      <c r="CP10" s="484"/>
      <c r="CQ10" s="484"/>
      <c r="CR10" s="484"/>
      <c r="CS10" s="484"/>
      <c r="CT10" s="484"/>
      <c r="CU10" s="484"/>
      <c r="CV10" s="484"/>
      <c r="CW10" s="484"/>
      <c r="CX10" s="484"/>
      <c r="CY10" s="484"/>
      <c r="CZ10" s="484"/>
      <c r="DA10" s="484"/>
      <c r="DB10" s="484"/>
      <c r="DC10" s="484"/>
    </row>
    <row r="11" spans="1:107" ht="19.5" customHeight="1">
      <c r="A11" s="11"/>
      <c r="B11" s="17">
        <v>1</v>
      </c>
      <c r="C11" s="452" t="s">
        <v>17</v>
      </c>
      <c r="D11" s="31"/>
      <c r="E11" s="31"/>
      <c r="F11" s="31"/>
      <c r="G11" s="149" t="str">
        <f>IFERROR(VLOOKUP(F11, 'Lookup Tables'!$B$5:$C$2226, 2, FALSE), "")</f>
        <v/>
      </c>
      <c r="H11" s="218"/>
      <c r="I11" s="219"/>
      <c r="J11" s="219"/>
      <c r="K11" s="219"/>
      <c r="L11" s="219"/>
      <c r="M11" s="219"/>
      <c r="N11" s="32"/>
      <c r="O11" s="110"/>
      <c r="P11" s="32"/>
      <c r="Q11" s="32"/>
      <c r="R11" s="32"/>
      <c r="S11" s="31"/>
      <c r="T11" s="31"/>
      <c r="U11" s="110"/>
      <c r="V11" s="31"/>
      <c r="W11" s="158" t="str">
        <f>IF(V11="", "", V11/12000)</f>
        <v/>
      </c>
      <c r="X11" s="226" t="str">
        <f>IF(V11="", "", IF(V11&lt;65000, AU11, AV11))</f>
        <v/>
      </c>
      <c r="Y11" s="227" t="str">
        <f>IF(V11="", "", IF(V11&lt;65000, "SEER2", "EER"))</f>
        <v/>
      </c>
      <c r="Z11" s="156"/>
      <c r="AA11" s="227" t="str">
        <f>IFERROR(IF(V11="", "", ROUND(AV11, 1)), "")</f>
        <v/>
      </c>
      <c r="AB11" s="227" t="str">
        <f>IF(V11="", "", "EER2")</f>
        <v/>
      </c>
      <c r="AC11" s="156"/>
      <c r="AD11" s="31"/>
      <c r="AE11" s="157" t="str">
        <f t="shared" ref="AE11:AE18" si="0">IF(AD11="", "", AD11/12000)</f>
        <v/>
      </c>
      <c r="AF11" s="158" t="str">
        <f>IF(AD11="", "", IF(AD11&lt;65000, AX11, AY11))</f>
        <v/>
      </c>
      <c r="AG11" s="155" t="str">
        <f>IF(AD11="", "", IF(AD11&lt;65000, "HSPF2", "COP"))</f>
        <v/>
      </c>
      <c r="AH11" s="156"/>
      <c r="AI11" s="41">
        <f>IF(Y11="SEER2",(1.2476*Z11)-2.86746,Z11)</f>
        <v>0</v>
      </c>
      <c r="AJ11" s="41">
        <f>(1.0578*AC11)-0.1769</f>
        <v>-0.1769</v>
      </c>
      <c r="AK11" s="41">
        <f>(1.1702*AH11)+0.07</f>
        <v>7.0000000000000007E-2</v>
      </c>
      <c r="AL11" s="155" t="str">
        <f>IFERROR(VLOOKUP(E11, 'Lookup Tables'!$G$6:$P$27, MATCH(G11, 'Lookup Tables'!$H$5:$P$5,1)+1, FALSE),"")</f>
        <v/>
      </c>
      <c r="AM11" s="155" t="str">
        <f>IFERROR(VLOOKUP(E11, 'Lookup Tables'!$R$6:$AA$27, MATCH(G11, 'Lookup Tables'!$S$5:$AA$5,1)+1, FALSE), "")</f>
        <v/>
      </c>
      <c r="AN11" s="157" t="str">
        <f>IFERROR(VLOOKUP(E11,'Lookup Tables'!$AC$6:$AL$19,MATCH(G11,'Lookup Tables'!$AD$5:$AL$5,1)+1,FALSE),"")</f>
        <v/>
      </c>
      <c r="AO11" s="389" t="str">
        <f>IF(OR(D11="", F11="", O11=""), "", IF(OR(O11="", O11="Electric Resistance"), 0, 0))</f>
        <v/>
      </c>
      <c r="AP11" s="157" t="str" cm="1">
        <f t="array" ref="AP11">IFERROR(IF(OR(O11="", D11="",U11=""), "", IF(D11="New Construction", _xlfn.XLOOKUP(BG11&amp;U11&amp;O11, $D$23:$D$26&amp;$X$23:$X$26&amp;$C$23:$C$26,$E$23:$E$26), IF(AND(H11&lt;15, I11&lt;&gt;"", V11&lt;65000), I11, _xlfn.XLOOKUP(BG11&amp;U11&amp;O11, $D$23:$D$26&amp;$X$23:$X$26&amp;$C$23:$C$26,$E$23:$E$26)))), "")</f>
        <v/>
      </c>
      <c r="AQ11" s="157" t="str" cm="1">
        <f t="array" ref="AQ11">IFERROR(IF(OR(O11="", D11=""), "", IF(D11="New Construction", _xlfn.XLOOKUP(BG11&amp;U11, $D$23:$D$32&amp;$X$23:$X$32,$F$23:$F$32), IF(AND(H11&lt;15, J11&lt;&gt;"", V11&lt;65000), J11, _xlfn.XLOOKUP(BG11&amp;U11, $D$23:$D$32&amp;$X$23:$X$32,$F$23:$F$32)))-AO11), "")</f>
        <v/>
      </c>
      <c r="AR11" s="157" t="str" cm="1">
        <f t="array" ref="AR11">IFERROR(IF(OR(O11="", D11="",U11=""), "", IF(D11="New Construction", _xlfn.XLOOKUP(BG11&amp;U11, $D$23:$D$32&amp;$X$23:$X$32,$G$23:$G$32), IF(AND(H11&lt;15, K11&lt;&gt;"", V11&lt;65000), K11, _xlfn.XLOOKUP(BG11&amp;U11, $D$23:$D$32&amp;$X$23:$X$32,$G$23:$G$32)))-AO11), "")</f>
        <v/>
      </c>
      <c r="AS11" s="157" t="str" cm="1">
        <f t="array" ref="AS11">IFERROR(IF(OR(O11="", D11=""), "", IF(D11="New Construction", _xlfn.XLOOKUP(BG11&amp;U11, $D$23:$D$32&amp;$X$23:$X$32,$H$23:$H$32), IF(AND(H11&lt;15, L11&lt;&gt;"", V11&lt;65000), L11, _xlfn.XLOOKUP(BG11&amp;U11, $D$23:$D$32&amp;$X$23:$X$32,$H$23:$H$32)))), "")</f>
        <v/>
      </c>
      <c r="AT11" s="157" t="str" cm="1">
        <f t="array" ref="AT11">IFERROR(IF(OR(O11="", D11=""), "", IF(D11="New Construction", _xlfn.XLOOKUP(BG11&amp;U11, $D$23:$D$32&amp;$X$23:$X$32,$I$23:$I$32), IF(AND(H11&lt;15, M11&lt;&gt;"", V11&lt;65000), M11, _xlfn.XLOOKUP(BG11&amp;U11, $D$23:$D$32&amp;$X$23:$X$32,$I$23:$I$32)))), "")</f>
        <v/>
      </c>
      <c r="AU11" s="157" t="str" cm="1">
        <f t="array" ref="AU11">IFERROR(IF(OR(O11="", D11="",U11=""), "", _xlfn.XLOOKUP(BG11&amp;U11, $D$23:$D$29&amp;$X$23:$X$29,$J$23:$J$29)), "")</f>
        <v/>
      </c>
      <c r="AV11" s="157" t="str" cm="1">
        <f t="array" ref="AV11">IFERROR(IF(OR(O11="", D11="",U11=""), "", _xlfn.XLOOKUP(BG11&amp;U11&amp;O11, $D$23:$D$29&amp;$X$23:$X$29&amp;$C$23:$C$29,$K$23:$K$29)), "")</f>
        <v/>
      </c>
      <c r="AW11" s="157" t="str" cm="1">
        <f t="array" ref="AW11">IFERROR(IF(OR(O11="", D11="",U11=""), "", _xlfn.XLOOKUP(BG11&amp;U11, $D$23:$D$29&amp;$X$23:$X$29,$L$23:$L$29)), "")</f>
        <v/>
      </c>
      <c r="AX11" s="157" t="str" cm="1">
        <f t="array" ref="AX11">IFERROR(IF(OR(O11="", D11="",U11=""), "", _xlfn.XLOOKUP(BG11&amp;U11, $D$23:$D$29&amp;$X$23:$X$29,$M$23:$M$29)), "")</f>
        <v/>
      </c>
      <c r="AY11" s="157" t="str" cm="1">
        <f t="array" ref="AY11">IFERROR(IF(OR(O11="", D11="",U11=""), "", _xlfn.XLOOKUP(BG11&amp;U11, $D$23:$D$32&amp;$X$23:$X$32,$N$23:$N$32)), "")</f>
        <v/>
      </c>
      <c r="AZ11" s="501">
        <f>IF(AC11&lt;&gt;"",IFERROR(ROUND(N11*(V11/1000)*(1/AQ11-1/AJ11),6), ""),0)</f>
        <v>0</v>
      </c>
      <c r="BA11" s="501">
        <f>IF(AC11&lt;&gt;"",IFERROR(ROUND(N11*(V11/1000)*(1/AQ11-1/AJ11),6)*AN11, ""),0)</f>
        <v>0</v>
      </c>
      <c r="BB11" s="159">
        <f>IFERROR(N11*(IF(V11&lt;65000,(V11/1000)*((1/AP11)-(1/AI11))*AL11,)),0)</f>
        <v>0</v>
      </c>
      <c r="BC11" s="159">
        <f>IF(AH11&lt;&gt;"",IFERROR(N11* (AD11/1000)*((1/AS11)-(1/AK11))*AM11,""),0)</f>
        <v>0</v>
      </c>
      <c r="BD11" s="500">
        <f>IFERROR(ROUND(IF(BH11="No", "", BB11+BC11),4), "")</f>
        <v>0</v>
      </c>
      <c r="BE11" s="500">
        <f t="shared" ref="BE11:BE18" si="1">T11</f>
        <v>0</v>
      </c>
      <c r="BF11" s="160" t="str" cm="1">
        <f t="array" ref="BF11">IFERROR(ROUND(IF(BH11="No", "", IF(BI11="Tier 2",_xlfn.XLOOKUP(BG11&amp;U11,$D$23:$D$26&amp;$X$23:$X$26,$S$23:$S$26)*W11*N11,_xlfn.XLOOKUP(BG11&amp;U11,$D$23:$D$26&amp;$X$23:$X$26,$R$23:$R$26)*W11*N11)),2),"")</f>
        <v/>
      </c>
      <c r="BG11" s="213" t="str" cm="1">
        <f t="array" ref="BG11">IF(OR(D11="",V11="",N11=""),"",_xlfn.XLOOKUP(O11&amp;U11,$C$23:$C$26&amp;$X$23:$X$26,$D$23:$D$26))</f>
        <v/>
      </c>
      <c r="BH11" s="161" t="str">
        <f>IF(OR(D11="", E11="", F11="", V11=""), "", IF(OR(IF(V11&lt;65000, Z11&lt;AU11, Z11&lt;X11), AH11&lt;AF11), "No", "Yes"))</f>
        <v/>
      </c>
      <c r="BI11" s="161" t="str">
        <f>IF(AND(U11="Single",Z11&gt;=$O$23,AC11&gt;=$P$23,AH11&gt;=$Q$23),"Tier 2","Tier 1")</f>
        <v>Tier 1</v>
      </c>
      <c r="BJ11" s="162" t="str">
        <f>IFERROR(IF(BH11="No", "", VLOOKUP(BG11, $D$23:$Z$26, 19, FALSE)), "")</f>
        <v/>
      </c>
      <c r="BK11" s="161" t="str">
        <f>IFERROR(VLOOKUP(BG11, $D$23:$Z$29, 20, FALSE), "")</f>
        <v/>
      </c>
      <c r="BL11" s="581" t="str">
        <f>IFERROR(VLOOKUP(BG11, $D$23:$Z$29, 18, FALSE), "")</f>
        <v/>
      </c>
      <c r="BM11" s="591" t="str">
        <f t="shared" ref="BM11:BM18" si="2">IF(ISBLANK(Y11),"",IF(ISNUMBER(SEARCH("SEER2",Y11,1)),(AP11+2.8674)/1.2476,""))</f>
        <v/>
      </c>
      <c r="BN11" s="576" t="str">
        <f t="shared" ref="BN11:BN18" si="3">IF(ISBLANK(N11),"",(AQ11+0.1769)/1.0578)</f>
        <v/>
      </c>
      <c r="BO11" s="576" t="str">
        <f t="shared" ref="BO11:BO18" si="4">IF(ISBLANK(N11),"",(AS11-0.07)/1.1702)</f>
        <v/>
      </c>
      <c r="BP11" s="23" t="str">
        <f t="shared" ref="BP11:BP18" si="5">IF(ISBLANK(O11),"",IF(ISNUMBER(SEARCH("Split",O11,1)),"Split","Package"))</f>
        <v/>
      </c>
      <c r="BQ11" s="563" t="str">
        <f>IF(ISBLANK(V11),"",IF(U11="Single","Consumer","Commercial"))</f>
        <v/>
      </c>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row>
    <row r="12" spans="1:107" ht="19.5" customHeight="1">
      <c r="A12" s="11"/>
      <c r="B12" s="17">
        <v>2</v>
      </c>
      <c r="C12" s="452" t="s">
        <v>17</v>
      </c>
      <c r="D12" s="31"/>
      <c r="E12" s="31"/>
      <c r="F12" s="31"/>
      <c r="G12" s="149" t="str">
        <f>IFERROR(VLOOKUP(F12, 'Lookup Tables'!$B$5:$C$2226, 2, FALSE), "")</f>
        <v/>
      </c>
      <c r="H12" s="32"/>
      <c r="I12" s="154"/>
      <c r="J12" s="154"/>
      <c r="K12" s="154"/>
      <c r="L12" s="154"/>
      <c r="M12" s="154"/>
      <c r="N12" s="32"/>
      <c r="O12" s="110"/>
      <c r="P12" s="32"/>
      <c r="Q12" s="32"/>
      <c r="R12" s="32"/>
      <c r="S12" s="31"/>
      <c r="T12" s="31"/>
      <c r="U12" s="110"/>
      <c r="V12" s="31"/>
      <c r="W12" s="158" t="str">
        <f t="shared" ref="W12:W18" si="6">IF(V12="", "", V12/12000)</f>
        <v/>
      </c>
      <c r="X12" s="226" t="str">
        <f t="shared" ref="X12:X18" si="7">IF(V12="", "", IF(V12&lt;65000, AU12, AV12))</f>
        <v/>
      </c>
      <c r="Y12" s="227" t="str">
        <f t="shared" ref="Y12:Y18" si="8">IF(V12="", "", IF(V12&lt;65000, "SEER2", "EER"))</f>
        <v/>
      </c>
      <c r="Z12" s="156"/>
      <c r="AA12" s="227" t="str">
        <f t="shared" ref="AA12:AA18" si="9">IFERROR(IF(V12="", "", ROUND(AV12, 1)), "")</f>
        <v/>
      </c>
      <c r="AB12" s="227" t="str">
        <f t="shared" ref="AB12:AB18" si="10">IF(V12="", "", "EER2")</f>
        <v/>
      </c>
      <c r="AC12" s="156"/>
      <c r="AD12" s="31"/>
      <c r="AE12" s="157" t="str">
        <f t="shared" si="0"/>
        <v/>
      </c>
      <c r="AF12" s="158" t="str">
        <f t="shared" ref="AF12:AF18" si="11">IF(AD12="", "", IF(AD12&lt;65000, AX12, AY12))</f>
        <v/>
      </c>
      <c r="AG12" s="155" t="str">
        <f t="shared" ref="AG12:AG18" si="12">IF(AD12="", "", IF(AD12&lt;65000, "HSPF2", "COP"))</f>
        <v/>
      </c>
      <c r="AH12" s="156"/>
      <c r="AI12" s="41">
        <f t="shared" ref="AI12:AI18" si="13">IF(Y12="SEER2",(1.2476*Z12)-2.86746,Z12)</f>
        <v>0</v>
      </c>
      <c r="AJ12" s="41">
        <f t="shared" ref="AJ12:AJ18" si="14">(1.0578*AC12)-0.1769</f>
        <v>-0.1769</v>
      </c>
      <c r="AK12" s="41">
        <f t="shared" ref="AK12:AK18" si="15">(1.1702*AH12)+0.07</f>
        <v>7.0000000000000007E-2</v>
      </c>
      <c r="AL12" s="155" t="str">
        <f>IFERROR(VLOOKUP(E12, 'Lookup Tables'!$G$6:$P$27, MATCH(G12, 'Lookup Tables'!$H$5:$P$5,1)+1, FALSE),"")</f>
        <v/>
      </c>
      <c r="AM12" s="155" t="str">
        <f>IFERROR(VLOOKUP(E12, 'Lookup Tables'!$R$6:$AA$27, MATCH(G12, 'Lookup Tables'!$S$5:$AA$5,1)+1, FALSE), "")</f>
        <v/>
      </c>
      <c r="AN12" s="157" t="str">
        <f>IFERROR(VLOOKUP(E12,'Lookup Tables'!$AC$6:$AL$19,MATCH(G12,'Lookup Tables'!$AD$5:$AL$5,1)+1,FALSE),"")</f>
        <v/>
      </c>
      <c r="AO12" s="389" t="str">
        <f t="shared" ref="AO12:AO18" si="16">IF(OR(D12="", F12="", O12=""), "", IF(OR(O12="", O12="Electric Resistance"), 0, 0))</f>
        <v/>
      </c>
      <c r="AP12" s="157" t="str" cm="1">
        <f t="array" ref="AP12">IFERROR(IF(OR(O12="", D12="",U12=""), "", IF(D12="New Construction", _xlfn.XLOOKUP(BG12&amp;U12, $D$23:$D$32&amp;$X$23:$X$32,$E$23:$E$32), IF(AND(H12&lt;15, I12&lt;&gt;"", V12&lt;65000), I12, _xlfn.XLOOKUP(BG12&amp;U12, $D$23:$D$32&amp;$X$23:$X$32,$E$23:$E$32)))), "")</f>
        <v/>
      </c>
      <c r="AQ12" s="157" t="str" cm="1">
        <f t="array" ref="AQ12">IFERROR(IF(OR(O12="", D12=""), "", IF(D12="New Construction", _xlfn.XLOOKUP(BG12&amp;U12, $D$23:$D$32&amp;$X$23:$X$32,$F$23:$F$32), IF(AND(H12&lt;15, J12&lt;&gt;"", V12&lt;65000), J12, _xlfn.XLOOKUP(BG12&amp;U12, $D$23:$D$32&amp;$X$23:$X$32,$F$23:$F$32)))-AO12), "")</f>
        <v/>
      </c>
      <c r="AR12" s="157" t="str" cm="1">
        <f t="array" ref="AR12">IFERROR(IF(OR(O12="", D12="",U12=""), "", IF(D12="New Construction", _xlfn.XLOOKUP(BG12&amp;U12, $D$23:$D$32&amp;$X$23:$X$32,$G$23:$G$32), IF(AND(H12&lt;15, K12&lt;&gt;"", V12&lt;65000), K12, _xlfn.XLOOKUP(BG12&amp;U12, $D$23:$D$32&amp;$X$23:$X$32,$G$23:$G$32)))-AO12), "")</f>
        <v/>
      </c>
      <c r="AS12" s="157" t="str" cm="1">
        <f t="array" ref="AS12">IFERROR(IF(OR(O12="", D12=""), "", IF(D12="New Construction", _xlfn.XLOOKUP(BG12&amp;U12, $D$23:$D$29&amp;$X$23:$X$29,$H$23:$H$29), IF(AND(H12&lt;15, L12&lt;&gt;"", V12&lt;65000), L12, _xlfn.XLOOKUP(BG12&amp;U12, $D$23:$D$29&amp;$X$23:$X$29,$H$23:$H$29)))), "")</f>
        <v/>
      </c>
      <c r="AT12" s="157" t="str" cm="1">
        <f t="array" ref="AT12">IFERROR(IF(OR(O12="", D12=""), "", IF(D12="New Construction", _xlfn.XLOOKUP(BG12&amp;U12, $D$23:$D$32&amp;$X$23:$X$32,$I$23:$I$32), IF(AND(H12&lt;15, M12&lt;&gt;"", V12&lt;65000), M12, _xlfn.XLOOKUP(BG12&amp;U12, $D$23:$D$32&amp;$X$23:$X$32,$I$23:$I$32)))), "")</f>
        <v/>
      </c>
      <c r="AU12" s="157" t="str" cm="1">
        <f t="array" ref="AU12">IFERROR(IF(OR(O12="", D12="",U12=""), "", _xlfn.XLOOKUP(BG12&amp;U12, $D$23:$D$29&amp;$X$23:$X$29,$J$23:$J$29)), "")</f>
        <v/>
      </c>
      <c r="AV12" s="157" t="str" cm="1">
        <f t="array" ref="AV12">IFERROR(IF(OR(O12="", D12="",U12=""), "", _xlfn.XLOOKUP(BG12&amp;U12, $D$23:$D$29&amp;$X$23:$X$29,$K$23:$K$29)), "")</f>
        <v/>
      </c>
      <c r="AW12" s="157" t="str" cm="1">
        <f t="array" ref="AW12">IFERROR(IF(OR(O12="", D12="",U12=""), "", _xlfn.XLOOKUP(BG12&amp;U12, $D$23:$D$29&amp;$X$23:$X$29,$L$23:$L$29)), "")</f>
        <v/>
      </c>
      <c r="AX12" s="157" t="str" cm="1">
        <f t="array" ref="AX12">IFERROR(IF(OR(O12="", D12="",U12=""), "", _xlfn.XLOOKUP(BG12&amp;U12, $D$23:$D$29&amp;$X$23:$X$29,$M$23:$M$29)), "")</f>
        <v/>
      </c>
      <c r="AY12" s="157" t="str" cm="1">
        <f t="array" ref="AY12">IFERROR(IF(OR(O12="", D12="",U12=""), "", _xlfn.XLOOKUP(BG12&amp;U12, $D$23:$D$32&amp;$X$23:$X$32,$N$23:$N$32)), "")</f>
        <v/>
      </c>
      <c r="AZ12" s="501">
        <f t="shared" ref="AZ12:AZ18" si="17">IF(AC12&lt;&gt;"",IFERROR(ROUND(N12*(V12/1000)*(1/AQ12-1/AJ12),6), ""),0)</f>
        <v>0</v>
      </c>
      <c r="BA12" s="501">
        <f t="shared" ref="BA12:BA18" si="18">IF(AC12&lt;&gt;"",IFERROR(ROUND(N12*(V12/1000)*(1/AQ12-1/AJ12),6)*AN12, ""),0)</f>
        <v>0</v>
      </c>
      <c r="BB12" s="159">
        <f t="shared" ref="BB12:BB18" si="19">IFERROR(N12*(IF(V12&lt;65000,(V12/1000)*((1/AP12)-(1/AI12))*AL12,)),0)</f>
        <v>0</v>
      </c>
      <c r="BC12" s="159">
        <f t="shared" ref="BC12:BC18" si="20">IF(AH12&lt;&gt;"",IFERROR(N12* (AD12/1000)*((1/AS12)-(1/AK12))*AM12,""),0)</f>
        <v>0</v>
      </c>
      <c r="BD12" s="500">
        <f t="shared" ref="BD12:BD18" si="21">IFERROR(ROUND(IF(BH12="No", "", BB12+BC12),4), "")</f>
        <v>0</v>
      </c>
      <c r="BE12" s="500">
        <f t="shared" si="1"/>
        <v>0</v>
      </c>
      <c r="BF12" s="160" t="str" cm="1">
        <f t="array" ref="BF12">IFERROR(ROUND(IF(BH12="No", "", IF(BI12="Tier 2",_xlfn.XLOOKUP(BG12&amp;U12,$D$23:$D$26&amp;$X$23:$X$26,$S$23:$S$26)*W12*N12,_xlfn.XLOOKUP(BG12&amp;U12,$D$23:$D$26&amp;$X$23:$X$26,$R$23:$R$26)*W12*N12)),2),"")</f>
        <v/>
      </c>
      <c r="BG12" s="213" t="str" cm="1">
        <f t="array" ref="BG12">IF(OR(D12="",V12="",N12=""),"",_xlfn.XLOOKUP(O12&amp;U12,$C$23:$C$26&amp;$X$23:$X$26,$D$23:$D$26))</f>
        <v/>
      </c>
      <c r="BH12" s="161" t="str">
        <f t="shared" ref="BH12:BH18" si="22">IF(OR(D12="", E12="", F12="", V12=""), "", IF(OR(IF(V12&lt;65000, Z12&lt;AU12, Z12&lt;X12), AH12&lt;AF12), "No", "Yes"))</f>
        <v/>
      </c>
      <c r="BI12" s="161" t="str">
        <f t="shared" ref="BI12:BI18" si="23">IF(AND(U12="Single",Z12&gt;=$O$23,AC12&gt;=$P$23,AH12&gt;=$Q$23),"Tier 2","Tier 1")</f>
        <v>Tier 1</v>
      </c>
      <c r="BJ12" s="162" t="str">
        <f t="shared" ref="BJ12:BJ18" si="24">IFERROR(IF(BH12="No", "", VLOOKUP(BG12, $D$23:$Z$26, 19, FALSE)), "")</f>
        <v/>
      </c>
      <c r="BK12" s="161" t="str">
        <f t="shared" ref="BK12:BK18" si="25">IFERROR(VLOOKUP(BG12, $D$23:$Z$29, 20, FALSE), "")</f>
        <v/>
      </c>
      <c r="BL12" s="581" t="str">
        <f t="shared" ref="BL12:BL18" si="26">IFERROR(VLOOKUP(BG12, $D$23:$Z$29, 18, FALSE), "")</f>
        <v/>
      </c>
      <c r="BM12" s="591" t="str">
        <f t="shared" si="2"/>
        <v/>
      </c>
      <c r="BN12" s="576" t="str">
        <f t="shared" si="3"/>
        <v/>
      </c>
      <c r="BO12" s="576" t="str">
        <f t="shared" si="4"/>
        <v/>
      </c>
      <c r="BP12" s="23" t="str">
        <f t="shared" si="5"/>
        <v/>
      </c>
      <c r="BQ12" s="563" t="str">
        <f t="shared" ref="BQ12:BQ17" si="27">IF(ISBLANK(V12),"",IF(U12="Single","Consumer","Commercial"))</f>
        <v/>
      </c>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row>
    <row r="13" spans="1:107" ht="19.5" customHeight="1">
      <c r="A13" s="11"/>
      <c r="B13" s="17">
        <v>3</v>
      </c>
      <c r="C13" s="452" t="s">
        <v>17</v>
      </c>
      <c r="D13" s="31"/>
      <c r="E13" s="31"/>
      <c r="F13" s="31"/>
      <c r="G13" s="149" t="str">
        <f>IFERROR(VLOOKUP(F13, 'Lookup Tables'!$B$5:$C$2226, 2, FALSE), "")</f>
        <v/>
      </c>
      <c r="H13" s="32"/>
      <c r="I13" s="154"/>
      <c r="J13" s="154"/>
      <c r="K13" s="154"/>
      <c r="L13" s="154"/>
      <c r="M13" s="154"/>
      <c r="N13" s="32"/>
      <c r="O13" s="110"/>
      <c r="P13" s="32"/>
      <c r="Q13" s="32"/>
      <c r="R13" s="32"/>
      <c r="S13" s="31"/>
      <c r="T13" s="31"/>
      <c r="U13" s="110"/>
      <c r="V13" s="31"/>
      <c r="W13" s="155" t="str">
        <f t="shared" si="6"/>
        <v/>
      </c>
      <c r="X13" s="226" t="str">
        <f t="shared" si="7"/>
        <v/>
      </c>
      <c r="Y13" s="227" t="str">
        <f t="shared" si="8"/>
        <v/>
      </c>
      <c r="Z13" s="156"/>
      <c r="AA13" s="227" t="str">
        <f t="shared" si="9"/>
        <v/>
      </c>
      <c r="AB13" s="227" t="str">
        <f t="shared" si="10"/>
        <v/>
      </c>
      <c r="AC13" s="156"/>
      <c r="AD13" s="31"/>
      <c r="AE13" s="155" t="str">
        <f t="shared" si="0"/>
        <v/>
      </c>
      <c r="AF13" s="158" t="str">
        <f t="shared" si="11"/>
        <v/>
      </c>
      <c r="AG13" s="155" t="str">
        <f t="shared" si="12"/>
        <v/>
      </c>
      <c r="AH13" s="156"/>
      <c r="AI13" s="41">
        <f t="shared" si="13"/>
        <v>0</v>
      </c>
      <c r="AJ13" s="41">
        <f t="shared" si="14"/>
        <v>-0.1769</v>
      </c>
      <c r="AK13" s="41">
        <f t="shared" si="15"/>
        <v>7.0000000000000007E-2</v>
      </c>
      <c r="AL13" s="155" t="str">
        <f>IFERROR(VLOOKUP(E13, 'Lookup Tables'!$G$6:$P$27, MATCH(G13, 'Lookup Tables'!$H$5:$P$5,1)+1, FALSE),"")</f>
        <v/>
      </c>
      <c r="AM13" s="155" t="str">
        <f>IFERROR(VLOOKUP(E13, 'Lookup Tables'!$R$6:$AA$27, MATCH(G13, 'Lookup Tables'!$S$5:$AA$5,1)+1, FALSE), "")</f>
        <v/>
      </c>
      <c r="AN13" s="157" t="str">
        <f>IFERROR(VLOOKUP(E13,'Lookup Tables'!$AC$6:$AL$19,MATCH(G13,'Lookup Tables'!$AD$5:$AL$5,1)+1,FALSE),"")</f>
        <v/>
      </c>
      <c r="AO13" s="389" t="str">
        <f t="shared" si="16"/>
        <v/>
      </c>
      <c r="AP13" s="157" t="str" cm="1">
        <f t="array" ref="AP13">IFERROR(IF(OR(O13="", D13="",U13=""), "", IF(D13="New Construction", _xlfn.XLOOKUP(BG13&amp;U13, $D$23:$D$32&amp;$X$23:$X$32,$E$23:$E$32), IF(AND(H13&lt;15, I13&lt;&gt;"", V13&lt;65000), I13, _xlfn.XLOOKUP(BG13&amp;U13, $D$23:$D$32&amp;$X$23:$X$32,$E$23:$E$32)))), "")</f>
        <v/>
      </c>
      <c r="AQ13" s="157" t="str" cm="1">
        <f t="array" ref="AQ13">IFERROR(IF(OR(O13="", D13=""), "", IF(D13="New Construction", _xlfn.XLOOKUP(BG13&amp;U13, $D$23:$D$32&amp;$X$23:$X$32,$F$23:$F$32), IF(AND(H13&lt;15, J13&lt;&gt;"", V13&lt;65000), J13, _xlfn.XLOOKUP(BG13&amp;U13, $D$23:$D$32&amp;$X$23:$X$32,$F$23:$F$32)))-AO13), "")</f>
        <v/>
      </c>
      <c r="AR13" s="157" t="str" cm="1">
        <f t="array" ref="AR13">IFERROR(IF(OR(O13="", D13="",U13=""), "", IF(D13="New Construction", _xlfn.XLOOKUP(BG13&amp;U13, $D$23:$D$32&amp;$X$23:$X$32,$G$23:$G$32), IF(AND(H13&lt;15, K13&lt;&gt;"", V13&lt;65000), K13, _xlfn.XLOOKUP(BG13&amp;U13, $D$23:$D$32&amp;$X$23:$X$32,$G$23:$G$32)))-AO13), "")</f>
        <v/>
      </c>
      <c r="AS13" s="157" t="str" cm="1">
        <f t="array" ref="AS13">IFERROR(IF(OR(O13="", D13=""), "", IF(D13="New Construction", _xlfn.XLOOKUP(BG13&amp;U13, $D$23:$D$29&amp;$X$23:$X$29,$H$23:$H$29), IF(AND(H13&lt;15, L13&lt;&gt;"", V13&lt;65000), L13, _xlfn.XLOOKUP(BG13&amp;U13, $D$23:$D$29&amp;$X$23:$X$29,$H$23:$H$29)))), "")</f>
        <v/>
      </c>
      <c r="AT13" s="157" t="str" cm="1">
        <f t="array" ref="AT13">IFERROR(IF(OR(O13="", D13=""), "", IF(D13="New Construction", _xlfn.XLOOKUP(BG13&amp;U13, $D$23:$D$32&amp;$X$23:$X$32,$I$23:$I$32), IF(AND(H13&lt;15, M13&lt;&gt;"", V13&lt;65000), M13, _xlfn.XLOOKUP(BG13&amp;U13, $D$23:$D$32&amp;$X$23:$X$32,$I$23:$I$32)))), "")</f>
        <v/>
      </c>
      <c r="AU13" s="157" t="str" cm="1">
        <f t="array" ref="AU13">IFERROR(IF(OR(O13="", D13="",U13=""), "", _xlfn.XLOOKUP(BG13&amp;U13, $D$23:$D$29&amp;$X$23:$X$29,$J$23:$J$29)), "")</f>
        <v/>
      </c>
      <c r="AV13" s="157" t="str" cm="1">
        <f t="array" ref="AV13">IFERROR(IF(OR(O13="", D13="",U13=""), "", _xlfn.XLOOKUP(BG13&amp;U13, $D$23:$D$29&amp;$X$23:$X$29,$K$23:$K$29)), "")</f>
        <v/>
      </c>
      <c r="AW13" s="157" t="str" cm="1">
        <f t="array" ref="AW13">IFERROR(IF(OR(O13="", D13="",U13=""), "", _xlfn.XLOOKUP(BG13&amp;U13, $D$23:$D$29&amp;$X$23:$X$29,$L$23:$L$29)), "")</f>
        <v/>
      </c>
      <c r="AX13" s="157" t="str" cm="1">
        <f t="array" ref="AX13">IFERROR(IF(OR(O13="", D13="",U13=""), "", _xlfn.XLOOKUP(BG13&amp;U13, $D$23:$D$29&amp;$X$23:$X$29,$M$23:$M$29)), "")</f>
        <v/>
      </c>
      <c r="AY13" s="157" t="str" cm="1">
        <f t="array" ref="AY13">IFERROR(IF(OR(O13="", D13="",U13=""), "", _xlfn.XLOOKUP(BG13&amp;U13, $D$23:$D$32&amp;$X$23:$X$32,$N$23:$N$32)), "")</f>
        <v/>
      </c>
      <c r="AZ13" s="501">
        <f t="shared" si="17"/>
        <v>0</v>
      </c>
      <c r="BA13" s="501">
        <f t="shared" si="18"/>
        <v>0</v>
      </c>
      <c r="BB13" s="159">
        <f t="shared" si="19"/>
        <v>0</v>
      </c>
      <c r="BC13" s="159">
        <f t="shared" si="20"/>
        <v>0</v>
      </c>
      <c r="BD13" s="500">
        <f t="shared" si="21"/>
        <v>0</v>
      </c>
      <c r="BE13" s="500">
        <f t="shared" si="1"/>
        <v>0</v>
      </c>
      <c r="BF13" s="160" t="str" cm="1">
        <f t="array" ref="BF13">IFERROR(ROUND(IF(BH13="No", "", IF(BI13="Tier 2",_xlfn.XLOOKUP(BG13&amp;U13,$D$23:$D$26&amp;$X$23:$X$26,$S$23:$S$26)*W13*N13,_xlfn.XLOOKUP(BG13&amp;U13,$D$23:$D$26&amp;$X$23:$X$26,$R$23:$R$26)*W13*N13)),2),"")</f>
        <v/>
      </c>
      <c r="BG13" s="213" t="str" cm="1">
        <f t="array" ref="BG13">IF(OR(D13="",V13="",N13=""),"",_xlfn.XLOOKUP(O13&amp;U13,$C$23:$C$26&amp;$X$23:$X$26,$D$23:$D$26))</f>
        <v/>
      </c>
      <c r="BH13" s="161" t="str">
        <f t="shared" si="22"/>
        <v/>
      </c>
      <c r="BI13" s="161" t="str">
        <f t="shared" si="23"/>
        <v>Tier 1</v>
      </c>
      <c r="BJ13" s="162" t="str">
        <f t="shared" si="24"/>
        <v/>
      </c>
      <c r="BK13" s="161" t="str">
        <f t="shared" si="25"/>
        <v/>
      </c>
      <c r="BL13" s="581" t="str">
        <f t="shared" si="26"/>
        <v/>
      </c>
      <c r="BM13" s="591" t="str">
        <f t="shared" si="2"/>
        <v/>
      </c>
      <c r="BN13" s="576" t="str">
        <f t="shared" si="3"/>
        <v/>
      </c>
      <c r="BO13" s="576" t="str">
        <f t="shared" si="4"/>
        <v/>
      </c>
      <c r="BP13" s="23" t="str">
        <f t="shared" si="5"/>
        <v/>
      </c>
      <c r="BQ13" s="563" t="str">
        <f t="shared" si="27"/>
        <v/>
      </c>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row>
    <row r="14" spans="1:107" ht="19.5" customHeight="1">
      <c r="A14" s="11"/>
      <c r="B14" s="17">
        <v>4</v>
      </c>
      <c r="C14" s="452" t="s">
        <v>17</v>
      </c>
      <c r="D14" s="31"/>
      <c r="E14" s="31"/>
      <c r="F14" s="31"/>
      <c r="G14" s="149" t="str">
        <f>IFERROR(VLOOKUP(F14, 'Lookup Tables'!$B$5:$C$2226, 2, FALSE), "")</f>
        <v/>
      </c>
      <c r="H14" s="32"/>
      <c r="I14" s="154"/>
      <c r="J14" s="154"/>
      <c r="K14" s="154"/>
      <c r="L14" s="154"/>
      <c r="M14" s="154"/>
      <c r="N14" s="32"/>
      <c r="O14" s="110"/>
      <c r="P14" s="32"/>
      <c r="Q14" s="32"/>
      <c r="R14" s="32"/>
      <c r="S14" s="31"/>
      <c r="T14" s="31"/>
      <c r="U14" s="110"/>
      <c r="V14" s="31"/>
      <c r="W14" s="155" t="str">
        <f t="shared" si="6"/>
        <v/>
      </c>
      <c r="X14" s="226" t="str">
        <f t="shared" si="7"/>
        <v/>
      </c>
      <c r="Y14" s="227" t="str">
        <f t="shared" si="8"/>
        <v/>
      </c>
      <c r="Z14" s="156"/>
      <c r="AA14" s="227" t="str">
        <f t="shared" si="9"/>
        <v/>
      </c>
      <c r="AB14" s="227" t="str">
        <f t="shared" si="10"/>
        <v/>
      </c>
      <c r="AC14" s="156"/>
      <c r="AD14" s="31"/>
      <c r="AE14" s="155" t="str">
        <f t="shared" si="0"/>
        <v/>
      </c>
      <c r="AF14" s="158" t="str">
        <f t="shared" si="11"/>
        <v/>
      </c>
      <c r="AG14" s="155" t="str">
        <f t="shared" si="12"/>
        <v/>
      </c>
      <c r="AH14" s="156"/>
      <c r="AI14" s="41">
        <f t="shared" si="13"/>
        <v>0</v>
      </c>
      <c r="AJ14" s="41">
        <f t="shared" si="14"/>
        <v>-0.1769</v>
      </c>
      <c r="AK14" s="41">
        <f t="shared" si="15"/>
        <v>7.0000000000000007E-2</v>
      </c>
      <c r="AL14" s="155" t="str">
        <f>IFERROR(VLOOKUP(E14, 'Lookup Tables'!$G$6:$P$27, MATCH(G14, 'Lookup Tables'!$H$5:$P$5,1)+1, FALSE),"")</f>
        <v/>
      </c>
      <c r="AM14" s="155" t="str">
        <f>IFERROR(VLOOKUP(E14, 'Lookup Tables'!$R$6:$AA$27, MATCH(G14, 'Lookup Tables'!$S$5:$AA$5,1)+1, FALSE), "")</f>
        <v/>
      </c>
      <c r="AN14" s="157" t="str">
        <f>IFERROR(VLOOKUP(E14,'Lookup Tables'!$AC$6:$AL$19,MATCH(G14,'Lookup Tables'!$AD$5:$AL$5,1)+1,FALSE),"")</f>
        <v/>
      </c>
      <c r="AO14" s="389" t="str">
        <f t="shared" si="16"/>
        <v/>
      </c>
      <c r="AP14" s="157" t="str" cm="1">
        <f t="array" ref="AP14">IFERROR(IF(OR(O14="", D14="",U14=""), "", IF(D14="New Construction", _xlfn.XLOOKUP(BG14&amp;U14, $D$23:$D$32&amp;$X$23:$X$32,$E$23:$E$32), IF(AND(H14&lt;15, I14&lt;&gt;"", V14&lt;65000), I14, _xlfn.XLOOKUP(BG14&amp;U14, $D$23:$D$32&amp;$X$23:$X$32,$E$23:$E$32)))), "")</f>
        <v/>
      </c>
      <c r="AQ14" s="157" t="str" cm="1">
        <f t="array" ref="AQ14">IFERROR(IF(OR(O14="", D14=""), "", IF(D14="New Construction", _xlfn.XLOOKUP(BG14&amp;U14, $D$23:$D$32&amp;$X$23:$X$32,$F$23:$F$32), IF(AND(H14&lt;15, J14&lt;&gt;"", V14&lt;65000), J14, _xlfn.XLOOKUP(BG14&amp;U14, $D$23:$D$32&amp;$X$23:$X$32,$F$23:$F$32)))-AO14), "")</f>
        <v/>
      </c>
      <c r="AR14" s="157" t="str" cm="1">
        <f t="array" ref="AR14">IFERROR(IF(OR(O14="", D14="",U14=""), "", IF(D14="New Construction", _xlfn.XLOOKUP(BG14&amp;U14, $D$23:$D$32&amp;$X$23:$X$32,$G$23:$G$32), IF(AND(H14&lt;15, K14&lt;&gt;"", V14&lt;65000), K14, _xlfn.XLOOKUP(BG14&amp;U14, $D$23:$D$32&amp;$X$23:$X$32,$G$23:$G$32)))-AO14), "")</f>
        <v/>
      </c>
      <c r="AS14" s="157" t="str" cm="1">
        <f t="array" ref="AS14">IFERROR(IF(OR(O14="", D14=""), "", IF(D14="New Construction", _xlfn.XLOOKUP(BG14&amp;U14, $D$23:$D$29&amp;$X$23:$X$29,$H$23:$H$29), IF(AND(H14&lt;15, L14&lt;&gt;"", V14&lt;65000), L14, _xlfn.XLOOKUP(BG14&amp;U14, $D$23:$D$29&amp;$X$23:$X$29,$H$23:$H$29)))), "")</f>
        <v/>
      </c>
      <c r="AT14" s="157" t="str" cm="1">
        <f t="array" ref="AT14">IFERROR(IF(OR(O14="", D14=""), "", IF(D14="New Construction", _xlfn.XLOOKUP(BG14&amp;U14, $D$23:$D$32&amp;$X$23:$X$32,$I$23:$I$32), IF(AND(H14&lt;15, M14&lt;&gt;"", V14&lt;65000), M14, _xlfn.XLOOKUP(BG14&amp;U14, $D$23:$D$32&amp;$X$23:$X$32,$I$23:$I$32)))), "")</f>
        <v/>
      </c>
      <c r="AU14" s="157" t="str" cm="1">
        <f t="array" ref="AU14">IFERROR(IF(OR(O14="", D14="",U14=""), "", _xlfn.XLOOKUP(BG14&amp;U14, $D$23:$D$29&amp;$X$23:$X$29,$J$23:$J$29)), "")</f>
        <v/>
      </c>
      <c r="AV14" s="157" t="str" cm="1">
        <f t="array" ref="AV14">IFERROR(IF(OR(O14="", D14="",U14=""), "", _xlfn.XLOOKUP(BG14&amp;U14, $D$23:$D$29&amp;$X$23:$X$29,$K$23:$K$29)), "")</f>
        <v/>
      </c>
      <c r="AW14" s="157" t="str" cm="1">
        <f t="array" ref="AW14">IFERROR(IF(OR(O14="", D14="",U14=""), "", _xlfn.XLOOKUP(BG14&amp;U14, $D$23:$D$29&amp;$X$23:$X$29,$L$23:$L$29)), "")</f>
        <v/>
      </c>
      <c r="AX14" s="157" t="str" cm="1">
        <f t="array" ref="AX14">IFERROR(IF(OR(O14="", D14="",U14=""), "", _xlfn.XLOOKUP(BG14&amp;U14, $D$23:$D$29&amp;$X$23:$X$29,$M$23:$M$29)), "")</f>
        <v/>
      </c>
      <c r="AY14" s="157" t="str" cm="1">
        <f t="array" ref="AY14">IFERROR(IF(OR(O14="", D14="",U14=""), "", _xlfn.XLOOKUP(BG14&amp;U14, $D$23:$D$32&amp;$X$23:$X$32,$N$23:$N$32)), "")</f>
        <v/>
      </c>
      <c r="AZ14" s="501">
        <f t="shared" si="17"/>
        <v>0</v>
      </c>
      <c r="BA14" s="501">
        <f t="shared" si="18"/>
        <v>0</v>
      </c>
      <c r="BB14" s="159">
        <f t="shared" si="19"/>
        <v>0</v>
      </c>
      <c r="BC14" s="159">
        <f t="shared" si="20"/>
        <v>0</v>
      </c>
      <c r="BD14" s="500">
        <f t="shared" si="21"/>
        <v>0</v>
      </c>
      <c r="BE14" s="500">
        <f t="shared" si="1"/>
        <v>0</v>
      </c>
      <c r="BF14" s="160" t="str" cm="1">
        <f t="array" ref="BF14">IFERROR(ROUND(IF(BH14="No", "", IF(BI14="Tier 2",_xlfn.XLOOKUP(BG14&amp;U14,$D$23:$D$26&amp;$X$23:$X$26,$S$23:$S$26)*W14*N14,_xlfn.XLOOKUP(BG14&amp;U14,$D$23:$D$26&amp;$X$23:$X$26,$R$23:$R$26)*W14*N14)),2),"")</f>
        <v/>
      </c>
      <c r="BG14" s="213" t="str" cm="1">
        <f t="array" ref="BG14">IF(OR(D14="",V14="",N14=""),"",_xlfn.XLOOKUP(O14&amp;U14,$C$23:$C$26&amp;$X$23:$X$26,$D$23:$D$26))</f>
        <v/>
      </c>
      <c r="BH14" s="161" t="str">
        <f t="shared" si="22"/>
        <v/>
      </c>
      <c r="BI14" s="161" t="str">
        <f t="shared" si="23"/>
        <v>Tier 1</v>
      </c>
      <c r="BJ14" s="162" t="str">
        <f t="shared" si="24"/>
        <v/>
      </c>
      <c r="BK14" s="161" t="str">
        <f t="shared" si="25"/>
        <v/>
      </c>
      <c r="BL14" s="581" t="str">
        <f t="shared" si="26"/>
        <v/>
      </c>
      <c r="BM14" s="591" t="str">
        <f t="shared" si="2"/>
        <v/>
      </c>
      <c r="BN14" s="576" t="str">
        <f t="shared" si="3"/>
        <v/>
      </c>
      <c r="BO14" s="576" t="str">
        <f t="shared" si="4"/>
        <v/>
      </c>
      <c r="BP14" s="23" t="str">
        <f t="shared" si="5"/>
        <v/>
      </c>
      <c r="BQ14" s="563" t="str">
        <f t="shared" si="27"/>
        <v/>
      </c>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row>
    <row r="15" spans="1:107" ht="19.5" customHeight="1">
      <c r="A15" s="11"/>
      <c r="B15" s="17">
        <v>5</v>
      </c>
      <c r="C15" s="452" t="s">
        <v>17</v>
      </c>
      <c r="D15" s="31"/>
      <c r="E15" s="31"/>
      <c r="F15" s="31"/>
      <c r="G15" s="149" t="str">
        <f>IFERROR(VLOOKUP(F15, 'Lookup Tables'!$B$5:$C$2226, 2, FALSE), "")</f>
        <v/>
      </c>
      <c r="H15" s="32"/>
      <c r="I15" s="154"/>
      <c r="J15" s="154"/>
      <c r="K15" s="154"/>
      <c r="L15" s="154"/>
      <c r="M15" s="154"/>
      <c r="N15" s="32"/>
      <c r="O15" s="110"/>
      <c r="P15" s="32"/>
      <c r="Q15" s="32"/>
      <c r="R15" s="32"/>
      <c r="S15" s="31"/>
      <c r="T15" s="31"/>
      <c r="U15" s="110"/>
      <c r="V15" s="31"/>
      <c r="W15" s="155" t="str">
        <f t="shared" si="6"/>
        <v/>
      </c>
      <c r="X15" s="226" t="str">
        <f t="shared" si="7"/>
        <v/>
      </c>
      <c r="Y15" s="227" t="str">
        <f t="shared" si="8"/>
        <v/>
      </c>
      <c r="Z15" s="156"/>
      <c r="AA15" s="227" t="str">
        <f t="shared" si="9"/>
        <v/>
      </c>
      <c r="AB15" s="227" t="str">
        <f t="shared" si="10"/>
        <v/>
      </c>
      <c r="AC15" s="156"/>
      <c r="AD15" s="31"/>
      <c r="AE15" s="155" t="str">
        <f t="shared" si="0"/>
        <v/>
      </c>
      <c r="AF15" s="158" t="str">
        <f t="shared" si="11"/>
        <v/>
      </c>
      <c r="AG15" s="155" t="str">
        <f t="shared" si="12"/>
        <v/>
      </c>
      <c r="AH15" s="156"/>
      <c r="AI15" s="41">
        <f t="shared" si="13"/>
        <v>0</v>
      </c>
      <c r="AJ15" s="41">
        <f t="shared" si="14"/>
        <v>-0.1769</v>
      </c>
      <c r="AK15" s="41">
        <f t="shared" si="15"/>
        <v>7.0000000000000007E-2</v>
      </c>
      <c r="AL15" s="155" t="str">
        <f>IFERROR(VLOOKUP(E15, 'Lookup Tables'!$G$6:$P$27, MATCH(G15, 'Lookup Tables'!$H$5:$P$5,1)+1, FALSE),"")</f>
        <v/>
      </c>
      <c r="AM15" s="155" t="str">
        <f>IFERROR(VLOOKUP(E15, 'Lookup Tables'!$R$6:$AA$27, MATCH(G15, 'Lookup Tables'!$S$5:$AA$5,1)+1, FALSE), "")</f>
        <v/>
      </c>
      <c r="AN15" s="157" t="str">
        <f>IFERROR(VLOOKUP(E15,'Lookup Tables'!$AC$6:$AL$19,MATCH(G15,'Lookup Tables'!$AD$5:$AL$5,1)+1,FALSE),"")</f>
        <v/>
      </c>
      <c r="AO15" s="389" t="str">
        <f t="shared" si="16"/>
        <v/>
      </c>
      <c r="AP15" s="157" t="str" cm="1">
        <f t="array" ref="AP15">IFERROR(IF(OR(O15="", D15="",U15=""), "", IF(D15="New Construction", _xlfn.XLOOKUP(BG15&amp;U15, $D$23:$D$32&amp;$X$23:$X$32,$E$23:$E$32), IF(AND(H15&lt;15, I15&lt;&gt;"", V15&lt;65000), I15, _xlfn.XLOOKUP(BG15&amp;U15, $D$23:$D$32&amp;$X$23:$X$32,$E$23:$E$32)))), "")</f>
        <v/>
      </c>
      <c r="AQ15" s="157" t="str" cm="1">
        <f t="array" ref="AQ15">IFERROR(IF(OR(O15="", D15=""), "", IF(D15="New Construction", _xlfn.XLOOKUP(BG15&amp;U15, $D$23:$D$32&amp;$X$23:$X$32,$F$23:$F$32), IF(AND(H15&lt;15, J15&lt;&gt;"", V15&lt;65000), J15, _xlfn.XLOOKUP(BG15&amp;U15, $D$23:$D$32&amp;$X$23:$X$32,$F$23:$F$32)))-AO15), "")</f>
        <v/>
      </c>
      <c r="AR15" s="157" t="str" cm="1">
        <f t="array" ref="AR15">IFERROR(IF(OR(O15="", D15="",U15=""), "", IF(D15="New Construction", _xlfn.XLOOKUP(BG15&amp;U15, $D$23:$D$32&amp;$X$23:$X$32,$G$23:$G$32), IF(AND(H15&lt;15, K15&lt;&gt;"", V15&lt;65000), K15, _xlfn.XLOOKUP(BG15&amp;U15, $D$23:$D$32&amp;$X$23:$X$32,$G$23:$G$32)))-AO15), "")</f>
        <v/>
      </c>
      <c r="AS15" s="157" t="str" cm="1">
        <f t="array" ref="AS15">IFERROR(IF(OR(O15="", D15=""), "", IF(D15="New Construction", _xlfn.XLOOKUP(BG15&amp;U15, $D$23:$D$29&amp;$X$23:$X$29,$H$23:$H$29), IF(AND(H15&lt;15, L15&lt;&gt;"", V15&lt;65000), L15, _xlfn.XLOOKUP(BG15&amp;U15, $D$23:$D$29&amp;$X$23:$X$29,$H$23:$H$29)))), "")</f>
        <v/>
      </c>
      <c r="AT15" s="157" t="str" cm="1">
        <f t="array" ref="AT15">IFERROR(IF(OR(O15="", D15=""), "", IF(D15="New Construction", _xlfn.XLOOKUP(BG15&amp;U15, $D$23:$D$32&amp;$X$23:$X$32,$I$23:$I$32), IF(AND(H15&lt;15, M15&lt;&gt;"", V15&lt;65000), M15, _xlfn.XLOOKUP(BG15&amp;U15, $D$23:$D$32&amp;$X$23:$X$32,$I$23:$I$32)))), "")</f>
        <v/>
      </c>
      <c r="AU15" s="157" t="str" cm="1">
        <f t="array" ref="AU15">IFERROR(IF(OR(O15="", D15="",U15=""), "", _xlfn.XLOOKUP(BG15&amp;U15, $D$23:$D$29&amp;$X$23:$X$29,$J$23:$J$29)), "")</f>
        <v/>
      </c>
      <c r="AV15" s="157" t="str" cm="1">
        <f t="array" ref="AV15">IFERROR(IF(OR(O15="", D15="",U15=""), "", _xlfn.XLOOKUP(BG15&amp;U15, $D$23:$D$29&amp;$X$23:$X$29,$K$23:$K$29)), "")</f>
        <v/>
      </c>
      <c r="AW15" s="157" t="str" cm="1">
        <f t="array" ref="AW15">IFERROR(IF(OR(O15="", D15="",U15=""), "", _xlfn.XLOOKUP(BG15&amp;U15, $D$23:$D$29&amp;$X$23:$X$29,$L$23:$L$29)), "")</f>
        <v/>
      </c>
      <c r="AX15" s="157" t="str" cm="1">
        <f t="array" ref="AX15">IFERROR(IF(OR(O15="", D15="",U15=""), "", _xlfn.XLOOKUP(BG15&amp;U15, $D$23:$D$29&amp;$X$23:$X$29,$M$23:$M$29)), "")</f>
        <v/>
      </c>
      <c r="AY15" s="157" t="str" cm="1">
        <f t="array" ref="AY15">IFERROR(IF(OR(O15="", D15="",U15=""), "", _xlfn.XLOOKUP(BG15&amp;U15, $D$23:$D$32&amp;$X$23:$X$32,$N$23:$N$32)), "")</f>
        <v/>
      </c>
      <c r="AZ15" s="501">
        <f t="shared" si="17"/>
        <v>0</v>
      </c>
      <c r="BA15" s="501">
        <f t="shared" si="18"/>
        <v>0</v>
      </c>
      <c r="BB15" s="159">
        <f t="shared" si="19"/>
        <v>0</v>
      </c>
      <c r="BC15" s="159">
        <f t="shared" si="20"/>
        <v>0</v>
      </c>
      <c r="BD15" s="500">
        <f t="shared" si="21"/>
        <v>0</v>
      </c>
      <c r="BE15" s="500">
        <f t="shared" si="1"/>
        <v>0</v>
      </c>
      <c r="BF15" s="160" t="str" cm="1">
        <f t="array" ref="BF15">IFERROR(ROUND(IF(BH15="No", "", IF(BI15="Tier 2",_xlfn.XLOOKUP(BG15&amp;U15,$D$23:$D$26&amp;$X$23:$X$26,$S$23:$S$26)*W15*N15,_xlfn.XLOOKUP(BG15&amp;U15,$D$23:$D$26&amp;$X$23:$X$26,$R$23:$R$26)*W15*N15)),2),"")</f>
        <v/>
      </c>
      <c r="BG15" s="213" t="str" cm="1">
        <f t="array" ref="BG15">IF(OR(D15="",V15="",N15=""),"",_xlfn.XLOOKUP(O15&amp;U15,$C$23:$C$26&amp;$X$23:$X$26,$D$23:$D$26))</f>
        <v/>
      </c>
      <c r="BH15" s="161" t="str">
        <f t="shared" si="22"/>
        <v/>
      </c>
      <c r="BI15" s="161" t="str">
        <f t="shared" si="23"/>
        <v>Tier 1</v>
      </c>
      <c r="BJ15" s="162" t="str">
        <f t="shared" si="24"/>
        <v/>
      </c>
      <c r="BK15" s="161" t="str">
        <f t="shared" si="25"/>
        <v/>
      </c>
      <c r="BL15" s="581" t="str">
        <f t="shared" si="26"/>
        <v/>
      </c>
      <c r="BM15" s="591" t="str">
        <f t="shared" si="2"/>
        <v/>
      </c>
      <c r="BN15" s="576" t="str">
        <f t="shared" si="3"/>
        <v/>
      </c>
      <c r="BO15" s="576" t="str">
        <f t="shared" si="4"/>
        <v/>
      </c>
      <c r="BP15" s="23" t="str">
        <f t="shared" si="5"/>
        <v/>
      </c>
      <c r="BQ15" s="563" t="str">
        <f t="shared" si="27"/>
        <v/>
      </c>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row>
    <row r="16" spans="1:107" ht="19.5" customHeight="1">
      <c r="A16" s="11"/>
      <c r="B16" s="17">
        <v>6</v>
      </c>
      <c r="C16" s="452" t="s">
        <v>17</v>
      </c>
      <c r="D16" s="31"/>
      <c r="E16" s="31"/>
      <c r="F16" s="31"/>
      <c r="G16" s="149" t="str">
        <f>IFERROR(VLOOKUP(F16, 'Lookup Tables'!$B$5:$C$2226, 2, FALSE), "")</f>
        <v/>
      </c>
      <c r="H16" s="32"/>
      <c r="I16" s="154"/>
      <c r="J16" s="154"/>
      <c r="K16" s="154"/>
      <c r="L16" s="154"/>
      <c r="M16" s="154"/>
      <c r="N16" s="32"/>
      <c r="O16" s="110"/>
      <c r="P16" s="32"/>
      <c r="Q16" s="32"/>
      <c r="R16" s="32"/>
      <c r="S16" s="31"/>
      <c r="T16" s="31"/>
      <c r="U16" s="110"/>
      <c r="V16" s="31"/>
      <c r="W16" s="155" t="str">
        <f t="shared" si="6"/>
        <v/>
      </c>
      <c r="X16" s="226" t="str">
        <f t="shared" si="7"/>
        <v/>
      </c>
      <c r="Y16" s="227" t="str">
        <f t="shared" si="8"/>
        <v/>
      </c>
      <c r="Z16" s="156"/>
      <c r="AA16" s="227" t="str">
        <f t="shared" si="9"/>
        <v/>
      </c>
      <c r="AB16" s="227" t="str">
        <f t="shared" si="10"/>
        <v/>
      </c>
      <c r="AC16" s="156"/>
      <c r="AD16" s="31"/>
      <c r="AE16" s="155" t="str">
        <f t="shared" si="0"/>
        <v/>
      </c>
      <c r="AF16" s="158" t="str">
        <f t="shared" si="11"/>
        <v/>
      </c>
      <c r="AG16" s="155" t="str">
        <f t="shared" si="12"/>
        <v/>
      </c>
      <c r="AH16" s="156"/>
      <c r="AI16" s="41">
        <f t="shared" si="13"/>
        <v>0</v>
      </c>
      <c r="AJ16" s="41">
        <f t="shared" si="14"/>
        <v>-0.1769</v>
      </c>
      <c r="AK16" s="41">
        <f t="shared" si="15"/>
        <v>7.0000000000000007E-2</v>
      </c>
      <c r="AL16" s="155" t="str">
        <f>IFERROR(VLOOKUP(E16, 'Lookup Tables'!$G$6:$P$27, MATCH(G16, 'Lookup Tables'!$H$5:$P$5,1)+1, FALSE),"")</f>
        <v/>
      </c>
      <c r="AM16" s="155" t="str">
        <f>IFERROR(VLOOKUP(E16, 'Lookup Tables'!$R$6:$AA$27, MATCH(G16, 'Lookup Tables'!$S$5:$AA$5,1)+1, FALSE), "")</f>
        <v/>
      </c>
      <c r="AN16" s="157" t="str">
        <f>IFERROR(VLOOKUP(E16,'Lookup Tables'!$AC$6:$AL$19,MATCH(G16,'Lookup Tables'!$AD$5:$AL$5,1)+1,FALSE),"")</f>
        <v/>
      </c>
      <c r="AO16" s="389" t="str">
        <f t="shared" si="16"/>
        <v/>
      </c>
      <c r="AP16" s="157" t="str" cm="1">
        <f t="array" ref="AP16">IFERROR(IF(OR(O16="", D16="",U16=""), "", IF(D16="New Construction", _xlfn.XLOOKUP(BG16&amp;U16, $D$23:$D$32&amp;$X$23:$X$32,$E$23:$E$32), IF(AND(H16&lt;15, I16&lt;&gt;"", V16&lt;65000), I16, _xlfn.XLOOKUP(BG16&amp;U16, $D$23:$D$32&amp;$X$23:$X$32,$E$23:$E$32)))), "")</f>
        <v/>
      </c>
      <c r="AQ16" s="157" t="str" cm="1">
        <f t="array" ref="AQ16">IFERROR(IF(OR(O16="", D16=""), "", IF(D16="New Construction", _xlfn.XLOOKUP(BG16&amp;U16, $D$23:$D$32&amp;$X$23:$X$32,$F$23:$F$32), IF(AND(H16&lt;15, J16&lt;&gt;"", V16&lt;65000), J16, _xlfn.XLOOKUP(BG16&amp;U16, $D$23:$D$32&amp;$X$23:$X$32,$F$23:$F$32)))-AO16), "")</f>
        <v/>
      </c>
      <c r="AR16" s="157" t="str" cm="1">
        <f t="array" ref="AR16">IFERROR(IF(OR(O16="", D16="",U16=""), "", IF(D16="New Construction", _xlfn.XLOOKUP(BG16&amp;U16, $D$23:$D$32&amp;$X$23:$X$32,$G$23:$G$32), IF(AND(H16&lt;15, K16&lt;&gt;"", V16&lt;65000), K16, _xlfn.XLOOKUP(BG16&amp;U16, $D$23:$D$32&amp;$X$23:$X$32,$G$23:$G$32)))-AO16), "")</f>
        <v/>
      </c>
      <c r="AS16" s="157" t="str" cm="1">
        <f t="array" ref="AS16">IFERROR(IF(OR(O16="", D16=""), "", IF(D16="New Construction", _xlfn.XLOOKUP(BG16&amp;U16, $D$23:$D$29&amp;$X$23:$X$29,$H$23:$H$29), IF(AND(H16&lt;15, L16&lt;&gt;"", V16&lt;65000), L16, _xlfn.XLOOKUP(BG16&amp;U16, $D$23:$D$29&amp;$X$23:$X$29,$H$23:$H$29)))), "")</f>
        <v/>
      </c>
      <c r="AT16" s="157" t="str" cm="1">
        <f t="array" ref="AT16">IFERROR(IF(OR(O16="", D16=""), "", IF(D16="New Construction", _xlfn.XLOOKUP(BG16&amp;U16, $D$23:$D$32&amp;$X$23:$X$32,$I$23:$I$32), IF(AND(H16&lt;15, M16&lt;&gt;"", V16&lt;65000), M16, _xlfn.XLOOKUP(BG16&amp;U16, $D$23:$D$32&amp;$X$23:$X$32,$I$23:$I$32)))), "")</f>
        <v/>
      </c>
      <c r="AU16" s="157" t="str" cm="1">
        <f t="array" ref="AU16">IFERROR(IF(OR(O16="", D16="",U16=""), "", _xlfn.XLOOKUP(BG16&amp;U16, $D$23:$D$29&amp;$X$23:$X$29,$J$23:$J$29)), "")</f>
        <v/>
      </c>
      <c r="AV16" s="157" t="str" cm="1">
        <f t="array" ref="AV16">IFERROR(IF(OR(O16="", D16="",U16=""), "", _xlfn.XLOOKUP(BG16&amp;U16, $D$23:$D$29&amp;$X$23:$X$29,$K$23:$K$29)), "")</f>
        <v/>
      </c>
      <c r="AW16" s="157" t="str" cm="1">
        <f t="array" ref="AW16">IFERROR(IF(OR(O16="", D16="",U16=""), "", _xlfn.XLOOKUP(BG16&amp;U16, $D$23:$D$29&amp;$X$23:$X$29,$L$23:$L$29)), "")</f>
        <v/>
      </c>
      <c r="AX16" s="157" t="str" cm="1">
        <f t="array" ref="AX16">IFERROR(IF(OR(O16="", D16="",U16=""), "", _xlfn.XLOOKUP(BG16&amp;U16, $D$23:$D$29&amp;$X$23:$X$29,$M$23:$M$29)), "")</f>
        <v/>
      </c>
      <c r="AY16" s="157" t="str" cm="1">
        <f t="array" ref="AY16">IFERROR(IF(OR(O16="", D16="",U16=""), "", _xlfn.XLOOKUP(BG16&amp;U16, $D$23:$D$32&amp;$X$23:$X$32,$N$23:$N$32)), "")</f>
        <v/>
      </c>
      <c r="AZ16" s="501">
        <f t="shared" si="17"/>
        <v>0</v>
      </c>
      <c r="BA16" s="501">
        <f t="shared" si="18"/>
        <v>0</v>
      </c>
      <c r="BB16" s="159">
        <f t="shared" si="19"/>
        <v>0</v>
      </c>
      <c r="BC16" s="159">
        <f t="shared" si="20"/>
        <v>0</v>
      </c>
      <c r="BD16" s="500">
        <f t="shared" si="21"/>
        <v>0</v>
      </c>
      <c r="BE16" s="500">
        <f t="shared" si="1"/>
        <v>0</v>
      </c>
      <c r="BF16" s="160" t="str" cm="1">
        <f t="array" ref="BF16">IFERROR(ROUND(IF(BH16="No", "", IF(BI16="Tier 2",_xlfn.XLOOKUP(BG16&amp;U16,$D$23:$D$26&amp;$X$23:$X$26,$S$23:$S$26)*W16*N16,_xlfn.XLOOKUP(BG16&amp;U16,$D$23:$D$26&amp;$X$23:$X$26,$R$23:$R$26)*W16*N16)),2),"")</f>
        <v/>
      </c>
      <c r="BG16" s="213" t="str" cm="1">
        <f t="array" ref="BG16">IF(OR(D16="",V16="",N16=""),"",_xlfn.XLOOKUP(O16&amp;U16,$C$23:$C$26&amp;$X$23:$X$26,$D$23:$D$26))</f>
        <v/>
      </c>
      <c r="BH16" s="161" t="str">
        <f t="shared" si="22"/>
        <v/>
      </c>
      <c r="BI16" s="161" t="str">
        <f t="shared" si="23"/>
        <v>Tier 1</v>
      </c>
      <c r="BJ16" s="162" t="str">
        <f t="shared" si="24"/>
        <v/>
      </c>
      <c r="BK16" s="161" t="str">
        <f t="shared" si="25"/>
        <v/>
      </c>
      <c r="BL16" s="581" t="str">
        <f t="shared" si="26"/>
        <v/>
      </c>
      <c r="BM16" s="591" t="str">
        <f t="shared" si="2"/>
        <v/>
      </c>
      <c r="BN16" s="576" t="str">
        <f t="shared" si="3"/>
        <v/>
      </c>
      <c r="BO16" s="576" t="str">
        <f t="shared" si="4"/>
        <v/>
      </c>
      <c r="BP16" s="23" t="str">
        <f t="shared" si="5"/>
        <v/>
      </c>
      <c r="BQ16" s="563" t="str">
        <f t="shared" si="27"/>
        <v/>
      </c>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row>
    <row r="17" spans="1:108" ht="19.5" customHeight="1">
      <c r="A17" s="11"/>
      <c r="B17" s="17">
        <v>7</v>
      </c>
      <c r="C17" s="452" t="s">
        <v>17</v>
      </c>
      <c r="D17" s="31"/>
      <c r="E17" s="31"/>
      <c r="F17" s="31"/>
      <c r="G17" s="149" t="str">
        <f>IFERROR(VLOOKUP(F17, 'Lookup Tables'!$B$5:$C$2226, 2, FALSE), "")</f>
        <v/>
      </c>
      <c r="H17" s="32"/>
      <c r="I17" s="154"/>
      <c r="J17" s="154"/>
      <c r="K17" s="154"/>
      <c r="L17" s="154"/>
      <c r="M17" s="154"/>
      <c r="N17" s="32"/>
      <c r="O17" s="110"/>
      <c r="P17" s="32"/>
      <c r="Q17" s="32"/>
      <c r="R17" s="32"/>
      <c r="S17" s="31"/>
      <c r="T17" s="31"/>
      <c r="U17" s="110"/>
      <c r="V17" s="31"/>
      <c r="W17" s="155" t="str">
        <f t="shared" si="6"/>
        <v/>
      </c>
      <c r="X17" s="226" t="str">
        <f t="shared" si="7"/>
        <v/>
      </c>
      <c r="Y17" s="227" t="str">
        <f t="shared" si="8"/>
        <v/>
      </c>
      <c r="Z17" s="156"/>
      <c r="AA17" s="227" t="str">
        <f t="shared" si="9"/>
        <v/>
      </c>
      <c r="AB17" s="227" t="str">
        <f t="shared" si="10"/>
        <v/>
      </c>
      <c r="AC17" s="156"/>
      <c r="AD17" s="31"/>
      <c r="AE17" s="155" t="str">
        <f t="shared" si="0"/>
        <v/>
      </c>
      <c r="AF17" s="158" t="str">
        <f t="shared" si="11"/>
        <v/>
      </c>
      <c r="AG17" s="155" t="str">
        <f t="shared" si="12"/>
        <v/>
      </c>
      <c r="AH17" s="156"/>
      <c r="AI17" s="41">
        <f t="shared" si="13"/>
        <v>0</v>
      </c>
      <c r="AJ17" s="41">
        <f t="shared" si="14"/>
        <v>-0.1769</v>
      </c>
      <c r="AK17" s="41">
        <f t="shared" si="15"/>
        <v>7.0000000000000007E-2</v>
      </c>
      <c r="AL17" s="155" t="str">
        <f>IFERROR(VLOOKUP(E17, 'Lookup Tables'!$G$6:$P$27, MATCH(G17, 'Lookup Tables'!$H$5:$P$5,1)+1, FALSE),"")</f>
        <v/>
      </c>
      <c r="AM17" s="155" t="str">
        <f>IFERROR(VLOOKUP(E17, 'Lookup Tables'!$R$6:$AA$27, MATCH(G17, 'Lookup Tables'!$S$5:$AA$5,1)+1, FALSE), "")</f>
        <v/>
      </c>
      <c r="AN17" s="157" t="str">
        <f>IFERROR(VLOOKUP(E17,'Lookup Tables'!$AC$6:$AL$19,MATCH(G17,'Lookup Tables'!$AD$5:$AL$5,1)+1,FALSE),"")</f>
        <v/>
      </c>
      <c r="AO17" s="389" t="str">
        <f t="shared" si="16"/>
        <v/>
      </c>
      <c r="AP17" s="157" t="str" cm="1">
        <f t="array" ref="AP17">IFERROR(IF(OR(O17="", D17="",U17=""), "", IF(D17="New Construction", _xlfn.XLOOKUP(BG17&amp;U17, $D$23:$D$32&amp;$X$23:$X$32,$E$23:$E$32), IF(AND(H17&lt;15, I17&lt;&gt;"", V17&lt;65000), I17, _xlfn.XLOOKUP(BG17&amp;U17, $D$23:$D$32&amp;$X$23:$X$32,$E$23:$E$32)))), "")</f>
        <v/>
      </c>
      <c r="AQ17" s="157" t="str" cm="1">
        <f t="array" ref="AQ17">IFERROR(IF(OR(O17="", D17=""), "", IF(D17="New Construction", _xlfn.XLOOKUP(BG17&amp;U17, $D$23:$D$32&amp;$X$23:$X$32,$F$23:$F$32), IF(AND(H17&lt;15, J17&lt;&gt;"", V17&lt;65000), J17, _xlfn.XLOOKUP(BG17&amp;U17, $D$23:$D$32&amp;$X$23:$X$32,$F$23:$F$32)))-AO17), "")</f>
        <v/>
      </c>
      <c r="AR17" s="157" t="str" cm="1">
        <f t="array" ref="AR17">IFERROR(IF(OR(O17="", D17="",U17=""), "", IF(D17="New Construction", _xlfn.XLOOKUP(BG17&amp;U17, $D$23:$D$32&amp;$X$23:$X$32,$G$23:$G$32), IF(AND(H17&lt;15, K17&lt;&gt;"", V17&lt;65000), K17, _xlfn.XLOOKUP(BG17&amp;U17, $D$23:$D$32&amp;$X$23:$X$32,$G$23:$G$32)))-AO17), "")</f>
        <v/>
      </c>
      <c r="AS17" s="157" t="str" cm="1">
        <f t="array" ref="AS17">IFERROR(IF(OR(O17="", D17=""), "", IF(D17="New Construction", _xlfn.XLOOKUP(BG17&amp;U17, $D$23:$D$29&amp;$X$23:$X$29,$H$23:$H$29), IF(AND(H17&lt;15, L17&lt;&gt;"", V17&lt;65000), L17, _xlfn.XLOOKUP(BG17&amp;U17, $D$23:$D$29&amp;$X$23:$X$29,$H$23:$H$29)))), "")</f>
        <v/>
      </c>
      <c r="AT17" s="157" t="str" cm="1">
        <f t="array" ref="AT17">IFERROR(IF(OR(O17="", D17=""), "", IF(D17="New Construction", _xlfn.XLOOKUP(BG17&amp;U17, $D$23:$D$32&amp;$X$23:$X$32,$I$23:$I$32), IF(AND(H17&lt;15, M17&lt;&gt;"", V17&lt;65000), M17, _xlfn.XLOOKUP(BG17&amp;U17, $D$23:$D$32&amp;$X$23:$X$32,$I$23:$I$32)))), "")</f>
        <v/>
      </c>
      <c r="AU17" s="157" t="str" cm="1">
        <f t="array" ref="AU17">IFERROR(IF(OR(O17="", D17="",U17=""), "", _xlfn.XLOOKUP(BG17&amp;U17, $D$23:$D$29&amp;$X$23:$X$29,$J$23:$J$29)), "")</f>
        <v/>
      </c>
      <c r="AV17" s="157" t="str" cm="1">
        <f t="array" ref="AV17">IFERROR(IF(OR(O17="", D17="",U17=""), "", _xlfn.XLOOKUP(BG17&amp;U17, $D$23:$D$29&amp;$X$23:$X$29,$K$23:$K$29)), "")</f>
        <v/>
      </c>
      <c r="AW17" s="157" t="str" cm="1">
        <f t="array" ref="AW17">IFERROR(IF(OR(O17="", D17="",U17=""), "", _xlfn.XLOOKUP(BG17&amp;U17, $D$23:$D$29&amp;$X$23:$X$29,$L$23:$L$29)), "")</f>
        <v/>
      </c>
      <c r="AX17" s="157" t="str" cm="1">
        <f t="array" ref="AX17">IFERROR(IF(OR(O17="", D17="",U17=""), "", _xlfn.XLOOKUP(BG17&amp;U17, $D$23:$D$29&amp;$X$23:$X$29,$M$23:$M$29)), "")</f>
        <v/>
      </c>
      <c r="AY17" s="157" t="str" cm="1">
        <f t="array" ref="AY17">IFERROR(IF(OR(O17="", D17="",U17=""), "", _xlfn.XLOOKUP(BG17&amp;U17, $D$23:$D$32&amp;$X$23:$X$32,$N$23:$N$32)), "")</f>
        <v/>
      </c>
      <c r="AZ17" s="501">
        <f t="shared" si="17"/>
        <v>0</v>
      </c>
      <c r="BA17" s="501">
        <f t="shared" si="18"/>
        <v>0</v>
      </c>
      <c r="BB17" s="159">
        <f t="shared" si="19"/>
        <v>0</v>
      </c>
      <c r="BC17" s="159">
        <f t="shared" si="20"/>
        <v>0</v>
      </c>
      <c r="BD17" s="500">
        <f t="shared" si="21"/>
        <v>0</v>
      </c>
      <c r="BE17" s="500">
        <f t="shared" si="1"/>
        <v>0</v>
      </c>
      <c r="BF17" s="160" t="str" cm="1">
        <f t="array" ref="BF17">IFERROR(ROUND(IF(BH17="No", "", IF(BI17="Tier 2",_xlfn.XLOOKUP(BG17&amp;U17,$D$23:$D$26&amp;$X$23:$X$26,$S$23:$S$26)*W17*N17,_xlfn.XLOOKUP(BG17&amp;U17,$D$23:$D$26&amp;$X$23:$X$26,$R$23:$R$26)*W17*N17)),2),"")</f>
        <v/>
      </c>
      <c r="BG17" s="213" t="str" cm="1">
        <f t="array" ref="BG17">IF(OR(D17="",V17="",N17=""),"",_xlfn.XLOOKUP(O17&amp;U17,$C$23:$C$26&amp;$X$23:$X$26,$D$23:$D$26))</f>
        <v/>
      </c>
      <c r="BH17" s="161" t="str">
        <f t="shared" si="22"/>
        <v/>
      </c>
      <c r="BI17" s="161" t="str">
        <f t="shared" si="23"/>
        <v>Tier 1</v>
      </c>
      <c r="BJ17" s="162" t="str">
        <f t="shared" si="24"/>
        <v/>
      </c>
      <c r="BK17" s="161" t="str">
        <f t="shared" si="25"/>
        <v/>
      </c>
      <c r="BL17" s="581" t="str">
        <f t="shared" si="26"/>
        <v/>
      </c>
      <c r="BM17" s="591" t="str">
        <f t="shared" si="2"/>
        <v/>
      </c>
      <c r="BN17" s="576" t="str">
        <f t="shared" si="3"/>
        <v/>
      </c>
      <c r="BO17" s="576" t="str">
        <f t="shared" si="4"/>
        <v/>
      </c>
      <c r="BP17" s="23" t="str">
        <f t="shared" si="5"/>
        <v/>
      </c>
      <c r="BQ17" s="563" t="str">
        <f t="shared" si="27"/>
        <v/>
      </c>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row>
    <row r="18" spans="1:108" ht="15" customHeight="1">
      <c r="A18" s="11"/>
      <c r="B18" s="17">
        <v>8</v>
      </c>
      <c r="C18" s="452" t="s">
        <v>17</v>
      </c>
      <c r="D18" s="31"/>
      <c r="E18" s="31"/>
      <c r="F18" s="31"/>
      <c r="G18" s="149" t="str">
        <f>IFERROR(VLOOKUP(F18, 'Lookup Tables'!$B$5:$C$2226, 2, FALSE), "")</f>
        <v/>
      </c>
      <c r="H18" s="32"/>
      <c r="I18" s="154"/>
      <c r="J18" s="154"/>
      <c r="K18" s="154"/>
      <c r="L18" s="154"/>
      <c r="M18" s="154"/>
      <c r="N18" s="32"/>
      <c r="O18" s="110"/>
      <c r="P18" s="32"/>
      <c r="Q18" s="32"/>
      <c r="R18" s="32"/>
      <c r="S18" s="31"/>
      <c r="T18" s="31"/>
      <c r="U18" s="110"/>
      <c r="V18" s="31"/>
      <c r="W18" s="155" t="str">
        <f t="shared" si="6"/>
        <v/>
      </c>
      <c r="X18" s="226" t="str">
        <f t="shared" si="7"/>
        <v/>
      </c>
      <c r="Y18" s="227" t="str">
        <f t="shared" si="8"/>
        <v/>
      </c>
      <c r="Z18" s="156"/>
      <c r="AA18" s="227" t="str">
        <f t="shared" si="9"/>
        <v/>
      </c>
      <c r="AB18" s="227" t="str">
        <f t="shared" si="10"/>
        <v/>
      </c>
      <c r="AC18" s="156"/>
      <c r="AD18" s="31"/>
      <c r="AE18" s="155" t="str">
        <f t="shared" si="0"/>
        <v/>
      </c>
      <c r="AF18" s="158" t="str">
        <f t="shared" si="11"/>
        <v/>
      </c>
      <c r="AG18" s="155" t="str">
        <f t="shared" si="12"/>
        <v/>
      </c>
      <c r="AH18" s="156"/>
      <c r="AI18" s="41">
        <f t="shared" si="13"/>
        <v>0</v>
      </c>
      <c r="AJ18" s="41">
        <f t="shared" si="14"/>
        <v>-0.1769</v>
      </c>
      <c r="AK18" s="41">
        <f t="shared" si="15"/>
        <v>7.0000000000000007E-2</v>
      </c>
      <c r="AL18" s="155" t="str">
        <f>IFERROR(VLOOKUP(E18, 'Lookup Tables'!$G$6:$P$27, MATCH(G18, 'Lookup Tables'!$H$5:$P$5,1)+1, FALSE),"")</f>
        <v/>
      </c>
      <c r="AM18" s="155" t="str">
        <f>IFERROR(VLOOKUP(E18, 'Lookup Tables'!$R$6:$AA$27, MATCH(G18, 'Lookup Tables'!$S$5:$AA$5,1)+1, FALSE), "")</f>
        <v/>
      </c>
      <c r="AN18" s="157" t="str">
        <f>IFERROR(VLOOKUP(E18,'Lookup Tables'!$AC$6:$AL$19,MATCH(G18,'Lookup Tables'!$AD$5:$AL$5,1)+1,FALSE),"")</f>
        <v/>
      </c>
      <c r="AO18" s="389" t="str">
        <f t="shared" si="16"/>
        <v/>
      </c>
      <c r="AP18" s="157" t="str" cm="1">
        <f t="array" ref="AP18">IFERROR(IF(OR(O18="", D18="",U18=""), "", IF(D18="New Construction", _xlfn.XLOOKUP(BG18&amp;U18, $D$23:$D$32&amp;$X$23:$X$32,$E$23:$E$32), IF(AND(H18&lt;15, I18&lt;&gt;"", V18&lt;65000), I18, _xlfn.XLOOKUP(BG18&amp;U18, $D$23:$D$32&amp;$X$23:$X$32,$E$23:$E$32)))), "")</f>
        <v/>
      </c>
      <c r="AQ18" s="157" t="str" cm="1">
        <f t="array" ref="AQ18">IFERROR(IF(OR(O18="", D18=""), "", IF(D18="New Construction", _xlfn.XLOOKUP(BG18&amp;U18, $D$23:$D$32&amp;$X$23:$X$32,$F$23:$F$32), IF(AND(H18&lt;15, J18&lt;&gt;"", V18&lt;65000), J18, _xlfn.XLOOKUP(BG18&amp;U18, $D$23:$D$32&amp;$X$23:$X$32,$F$23:$F$32)))-AO18), "")</f>
        <v/>
      </c>
      <c r="AR18" s="157" t="str" cm="1">
        <f t="array" ref="AR18">IFERROR(IF(OR(O18="", D18="",U18=""), "", IF(D18="New Construction", _xlfn.XLOOKUP(BG18&amp;U18, $D$23:$D$32&amp;$X$23:$X$32,$G$23:$G$32), IF(AND(H18&lt;15, K18&lt;&gt;"", V18&lt;65000), K18, _xlfn.XLOOKUP(BG18&amp;U18, $D$23:$D$32&amp;$X$23:$X$32,$G$23:$G$32)))-AO18), "")</f>
        <v/>
      </c>
      <c r="AS18" s="157" t="str" cm="1">
        <f t="array" ref="AS18">IFERROR(IF(OR(O18="", D18=""), "", IF(D18="New Construction", _xlfn.XLOOKUP(BG18&amp;U18, $D$23:$D$29&amp;$X$23:$X$29,$H$23:$H$29), IF(AND(H18&lt;15, L18&lt;&gt;"", V18&lt;65000), L18, _xlfn.XLOOKUP(BG18&amp;U18, $D$23:$D$29&amp;$X$23:$X$29,$H$23:$H$29)))), "")</f>
        <v/>
      </c>
      <c r="AT18" s="157" t="str" cm="1">
        <f t="array" ref="AT18">IFERROR(IF(OR(O18="", D18=""), "", IF(D18="New Construction", _xlfn.XLOOKUP(BG18&amp;U18, $D$23:$D$32&amp;$X$23:$X$32,$I$23:$I$32), IF(AND(H18&lt;15, M18&lt;&gt;"", V18&lt;65000), M18, _xlfn.XLOOKUP(BG18&amp;U18, $D$23:$D$32&amp;$X$23:$X$32,$I$23:$I$32)))), "")</f>
        <v/>
      </c>
      <c r="AU18" s="157" t="str" cm="1">
        <f t="array" ref="AU18">IFERROR(IF(OR(O18="", D18="",U18=""), "", _xlfn.XLOOKUP(BG18&amp;U18, $D$23:$D$29&amp;$X$23:$X$29,$J$23:$J$29)), "")</f>
        <v/>
      </c>
      <c r="AV18" s="157" t="str" cm="1">
        <f t="array" ref="AV18">IFERROR(IF(OR(O18="", D18="",U18=""), "", _xlfn.XLOOKUP(BG18&amp;U18, $D$23:$D$29&amp;$X$23:$X$29,$K$23:$K$29)), "")</f>
        <v/>
      </c>
      <c r="AW18" s="157" t="str" cm="1">
        <f t="array" ref="AW18">IFERROR(IF(OR(O18="", D18="",U18=""), "", _xlfn.XLOOKUP(BG18&amp;U18, $D$23:$D$29&amp;$X$23:$X$29,$L$23:$L$29)), "")</f>
        <v/>
      </c>
      <c r="AX18" s="157" t="str" cm="1">
        <f t="array" ref="AX18">IFERROR(IF(OR(O18="", D18="",U18=""), "", _xlfn.XLOOKUP(BG18&amp;U18, $D$23:$D$29&amp;$X$23:$X$29,$M$23:$M$29)), "")</f>
        <v/>
      </c>
      <c r="AY18" s="157" t="str" cm="1">
        <f t="array" ref="AY18">IFERROR(IF(OR(O18="", D18="",U18=""), "", _xlfn.XLOOKUP(BG18&amp;U18, $D$23:$D$32&amp;$X$23:$X$32,$N$23:$N$32)), "")</f>
        <v/>
      </c>
      <c r="AZ18" s="501">
        <f t="shared" si="17"/>
        <v>0</v>
      </c>
      <c r="BA18" s="501">
        <f t="shared" si="18"/>
        <v>0</v>
      </c>
      <c r="BB18" s="159">
        <f t="shared" si="19"/>
        <v>0</v>
      </c>
      <c r="BC18" s="159">
        <f t="shared" si="20"/>
        <v>0</v>
      </c>
      <c r="BD18" s="500">
        <f t="shared" si="21"/>
        <v>0</v>
      </c>
      <c r="BE18" s="500">
        <f t="shared" si="1"/>
        <v>0</v>
      </c>
      <c r="BF18" s="160" t="str" cm="1">
        <f t="array" ref="BF18">IFERROR(ROUND(IF(BH18="No", "", IF(BI18="Tier 2",_xlfn.XLOOKUP(BG18&amp;U18,$D$23:$D$26&amp;$X$23:$X$26,$S$23:$S$26)*W18*N18,_xlfn.XLOOKUP(BG18&amp;U18,$D$23:$D$26&amp;$X$23:$X$26,$R$23:$R$26)*W18*N18)),2),"")</f>
        <v/>
      </c>
      <c r="BG18" s="213" t="str" cm="1">
        <f t="array" ref="BG18">IF(OR(D18="",V18="",N18=""),"",_xlfn.XLOOKUP(O18&amp;U18,$C$23:$C$26&amp;$X$23:$X$26,$D$23:$D$26))</f>
        <v/>
      </c>
      <c r="BH18" s="161" t="str">
        <f t="shared" si="22"/>
        <v/>
      </c>
      <c r="BI18" s="161" t="str">
        <f t="shared" si="23"/>
        <v>Tier 1</v>
      </c>
      <c r="BJ18" s="162" t="str">
        <f t="shared" si="24"/>
        <v/>
      </c>
      <c r="BK18" s="161" t="str">
        <f t="shared" si="25"/>
        <v/>
      </c>
      <c r="BL18" s="581" t="str">
        <f t="shared" si="26"/>
        <v/>
      </c>
      <c r="BM18" s="591" t="str">
        <f t="shared" si="2"/>
        <v/>
      </c>
      <c r="BN18" s="576" t="str">
        <f t="shared" si="3"/>
        <v/>
      </c>
      <c r="BO18" s="576" t="str">
        <f t="shared" si="4"/>
        <v/>
      </c>
      <c r="BP18" s="23" t="str">
        <f t="shared" si="5"/>
        <v/>
      </c>
      <c r="BQ18" s="563" t="str">
        <f t="shared" ref="BQ18" si="28">IF(ISBLANK(V18),"",IF(V18&lt;65000,"Consumer","Commercial"))</f>
        <v/>
      </c>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row>
    <row r="19" spans="1:108" ht="15" customHeight="1">
      <c r="A19" s="11"/>
      <c r="B19" s="190"/>
      <c r="C19" s="190"/>
      <c r="D19" s="190"/>
      <c r="E19" s="190"/>
      <c r="F19" s="190"/>
      <c r="G19" s="190"/>
      <c r="H19" s="190"/>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90"/>
      <c r="BG19" s="190"/>
      <c r="BH19" s="190"/>
      <c r="BI19" s="190"/>
      <c r="BJ19" s="190"/>
      <c r="BK19" s="190"/>
      <c r="BL19" s="190"/>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row>
    <row r="20" spans="1:108" ht="15" hidden="1"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row>
    <row r="21" spans="1:108" hidden="1">
      <c r="A21" s="11"/>
      <c r="B21" s="11"/>
      <c r="C21" s="11"/>
      <c r="D21" s="11"/>
      <c r="E21" s="11"/>
      <c r="F21" s="11"/>
      <c r="G21" s="11"/>
      <c r="H21" s="11"/>
      <c r="I21" s="11"/>
      <c r="J21" s="11"/>
      <c r="K21" s="11"/>
      <c r="L21" s="11"/>
      <c r="M21" s="11"/>
      <c r="N21" s="11"/>
      <c r="O21" s="11"/>
      <c r="P21" s="11"/>
      <c r="Q21" s="11"/>
      <c r="R21" s="11"/>
      <c r="S21" s="11" t="s">
        <v>364</v>
      </c>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row>
    <row r="22" spans="1:108" hidden="1">
      <c r="A22" s="147"/>
      <c r="B22" s="147"/>
      <c r="C22" s="4"/>
      <c r="D22" s="4" t="s">
        <v>104</v>
      </c>
      <c r="E22" s="454" t="s">
        <v>251</v>
      </c>
      <c r="F22" s="454" t="s">
        <v>252</v>
      </c>
      <c r="G22" s="454" t="s">
        <v>253</v>
      </c>
      <c r="H22" s="454" t="s">
        <v>365</v>
      </c>
      <c r="I22" s="454" t="s">
        <v>366</v>
      </c>
      <c r="J22" s="464" t="s">
        <v>367</v>
      </c>
      <c r="K22" s="464" t="s">
        <v>368</v>
      </c>
      <c r="L22" s="464" t="s">
        <v>255</v>
      </c>
      <c r="M22" s="464" t="s">
        <v>369</v>
      </c>
      <c r="N22" s="464" t="s">
        <v>370</v>
      </c>
      <c r="O22" s="464" t="s">
        <v>367</v>
      </c>
      <c r="P22" s="464" t="s">
        <v>368</v>
      </c>
      <c r="Q22" s="464" t="s">
        <v>369</v>
      </c>
      <c r="R22" s="464" t="s">
        <v>45</v>
      </c>
      <c r="S22" s="464" t="s">
        <v>45</v>
      </c>
      <c r="T22" s="464" t="s">
        <v>256</v>
      </c>
      <c r="U22" s="464" t="s">
        <v>134</v>
      </c>
      <c r="V22" s="464" t="s">
        <v>132</v>
      </c>
      <c r="W22" s="464" t="s">
        <v>143</v>
      </c>
      <c r="X22" s="608" t="s">
        <v>189</v>
      </c>
      <c r="Y22" s="629" t="s">
        <v>371</v>
      </c>
      <c r="Z22" s="629" t="s">
        <v>372</v>
      </c>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row>
    <row r="23" spans="1:108" hidden="1">
      <c r="A23" s="147"/>
      <c r="B23" s="147"/>
      <c r="C23" s="83" t="s">
        <v>259</v>
      </c>
      <c r="D23" s="577" t="s">
        <v>260</v>
      </c>
      <c r="E23" s="554">
        <v>13.9</v>
      </c>
      <c r="F23" s="554">
        <v>11.6</v>
      </c>
      <c r="G23" s="86" t="s">
        <v>109</v>
      </c>
      <c r="H23" s="555">
        <v>7.9</v>
      </c>
      <c r="I23" s="86" t="s">
        <v>109</v>
      </c>
      <c r="J23" s="556">
        <v>15.2</v>
      </c>
      <c r="K23" s="554">
        <v>11.5</v>
      </c>
      <c r="L23" s="22" t="s">
        <v>109</v>
      </c>
      <c r="M23" s="556">
        <v>7.2</v>
      </c>
      <c r="N23" s="22" t="s">
        <v>109</v>
      </c>
      <c r="O23" s="556">
        <v>16.899999999999999</v>
      </c>
      <c r="P23" s="554">
        <v>12</v>
      </c>
      <c r="Q23" s="554">
        <v>8.1999999999999993</v>
      </c>
      <c r="R23" s="609">
        <v>250</v>
      </c>
      <c r="S23" s="609">
        <v>500</v>
      </c>
      <c r="T23" s="39" t="s">
        <v>265</v>
      </c>
      <c r="U23" s="357" t="s">
        <v>373</v>
      </c>
      <c r="V23" s="388" t="s">
        <v>374</v>
      </c>
      <c r="W23" s="388" t="s">
        <v>375</v>
      </c>
      <c r="X23" t="s">
        <v>242</v>
      </c>
      <c r="Y23" s="630">
        <v>0</v>
      </c>
      <c r="Z23" s="631">
        <v>65000</v>
      </c>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row>
    <row r="24" spans="1:108" hidden="1">
      <c r="A24" s="147"/>
      <c r="B24" s="147"/>
      <c r="C24" s="83" t="s">
        <v>262</v>
      </c>
      <c r="D24" s="577" t="s">
        <v>263</v>
      </c>
      <c r="E24" s="554">
        <v>15</v>
      </c>
      <c r="F24" s="554">
        <v>12.1</v>
      </c>
      <c r="G24" s="86" t="s">
        <v>109</v>
      </c>
      <c r="H24" s="555">
        <v>8.8000000000000007</v>
      </c>
      <c r="I24" s="86" t="s">
        <v>109</v>
      </c>
      <c r="J24" s="556">
        <v>15.2</v>
      </c>
      <c r="K24" s="554">
        <v>12</v>
      </c>
      <c r="L24" s="22" t="s">
        <v>109</v>
      </c>
      <c r="M24" s="556">
        <v>7.8</v>
      </c>
      <c r="N24" s="22" t="s">
        <v>109</v>
      </c>
      <c r="O24" s="556">
        <v>16.899999999999999</v>
      </c>
      <c r="P24" s="554">
        <v>12</v>
      </c>
      <c r="Q24" s="554">
        <v>8.1999999999999993</v>
      </c>
      <c r="R24" s="609">
        <v>250</v>
      </c>
      <c r="S24" s="609">
        <v>500</v>
      </c>
      <c r="T24" s="39" t="s">
        <v>265</v>
      </c>
      <c r="U24" s="357" t="s">
        <v>373</v>
      </c>
      <c r="V24" s="388" t="s">
        <v>376</v>
      </c>
      <c r="W24" s="388" t="s">
        <v>375</v>
      </c>
      <c r="X24" t="s">
        <v>242</v>
      </c>
      <c r="Y24" s="630">
        <v>0</v>
      </c>
      <c r="Z24" s="631">
        <v>65000</v>
      </c>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row>
    <row r="25" spans="1:108" hidden="1">
      <c r="A25" s="147"/>
      <c r="B25" s="147"/>
      <c r="C25" s="606" t="s">
        <v>259</v>
      </c>
      <c r="D25" s="606" t="s">
        <v>260</v>
      </c>
      <c r="E25" s="479">
        <v>14</v>
      </c>
      <c r="F25" s="637">
        <f>E25*(11.3/13)</f>
        <v>12.169230769230769</v>
      </c>
      <c r="G25" s="479" t="s">
        <v>109</v>
      </c>
      <c r="H25" s="623">
        <v>8</v>
      </c>
      <c r="I25" s="479" t="s">
        <v>109</v>
      </c>
      <c r="J25" s="607">
        <v>15.2</v>
      </c>
      <c r="K25" s="479">
        <v>10.6</v>
      </c>
      <c r="L25" s="607" t="s">
        <v>109</v>
      </c>
      <c r="M25" s="607">
        <f>ROUND((8.2-0.07)/1.1702,1)</f>
        <v>6.9</v>
      </c>
      <c r="N25" s="607" t="s">
        <v>109</v>
      </c>
      <c r="R25" s="609">
        <v>100</v>
      </c>
      <c r="S25" s="609">
        <v>0</v>
      </c>
      <c r="T25" s="610" t="s">
        <v>265</v>
      </c>
      <c r="U25" s="610" t="s">
        <v>373</v>
      </c>
      <c r="V25" s="611" t="s">
        <v>374</v>
      </c>
      <c r="W25" s="611" t="s">
        <v>375</v>
      </c>
      <c r="X25" t="s">
        <v>244</v>
      </c>
      <c r="Y25" s="630">
        <v>0</v>
      </c>
      <c r="Z25" s="631">
        <v>65000</v>
      </c>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row>
    <row r="26" spans="1:108" hidden="1">
      <c r="A26" s="147"/>
      <c r="B26" s="147"/>
      <c r="C26" s="606" t="s">
        <v>262</v>
      </c>
      <c r="D26" s="606" t="s">
        <v>263</v>
      </c>
      <c r="E26" s="479">
        <v>14</v>
      </c>
      <c r="F26" s="637">
        <f>E26*(11.3/13)</f>
        <v>12.169230769230769</v>
      </c>
      <c r="G26" s="479" t="s">
        <v>109</v>
      </c>
      <c r="H26" s="623">
        <v>8.1999999999999993</v>
      </c>
      <c r="I26" s="479" t="s">
        <v>109</v>
      </c>
      <c r="J26" s="607">
        <f>ROUND((18+2.8674)/1.2476,1)</f>
        <v>16.7</v>
      </c>
      <c r="K26" s="479">
        <v>11.7</v>
      </c>
      <c r="L26" s="607" t="s">
        <v>109</v>
      </c>
      <c r="M26" s="607">
        <f>ROUND((10-0.07)/1.1702,1)</f>
        <v>8.5</v>
      </c>
      <c r="N26" s="607" t="s">
        <v>109</v>
      </c>
      <c r="R26" s="609">
        <v>150</v>
      </c>
      <c r="S26" s="609">
        <v>0</v>
      </c>
      <c r="T26" s="610" t="s">
        <v>265</v>
      </c>
      <c r="U26" s="610" t="s">
        <v>373</v>
      </c>
      <c r="V26" s="611" t="s">
        <v>376</v>
      </c>
      <c r="W26" s="611" t="s">
        <v>375</v>
      </c>
      <c r="X26" t="s">
        <v>244</v>
      </c>
      <c r="Y26" s="630">
        <v>0</v>
      </c>
      <c r="Z26" s="631">
        <v>65000</v>
      </c>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row>
    <row r="27" spans="1:108" hidden="1">
      <c r="A27" s="147"/>
      <c r="B27" s="147"/>
      <c r="C27" s="83" t="s">
        <v>262</v>
      </c>
      <c r="D27" s="612" t="s">
        <v>377</v>
      </c>
      <c r="E27" s="613"/>
      <c r="F27" s="613">
        <v>12</v>
      </c>
      <c r="G27" s="613">
        <v>14.1</v>
      </c>
      <c r="H27" s="614"/>
      <c r="I27" s="615">
        <v>3.4</v>
      </c>
      <c r="J27" s="615"/>
      <c r="K27" s="613"/>
      <c r="L27" s="615"/>
      <c r="M27" s="615"/>
      <c r="N27" s="615"/>
      <c r="R27" s="616" t="s">
        <v>378</v>
      </c>
      <c r="T27" s="617"/>
      <c r="U27" s="617"/>
      <c r="V27" s="618"/>
      <c r="W27" s="618"/>
      <c r="X27" s="619" t="s">
        <v>244</v>
      </c>
      <c r="Y27" s="632">
        <v>65000</v>
      </c>
      <c r="Z27" s="632">
        <v>135000</v>
      </c>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row>
    <row r="28" spans="1:108" hidden="1">
      <c r="A28" s="147"/>
      <c r="B28" s="147"/>
      <c r="C28" s="83" t="s">
        <v>262</v>
      </c>
      <c r="D28" s="612" t="s">
        <v>379</v>
      </c>
      <c r="E28" s="613"/>
      <c r="F28" s="613">
        <v>10.7</v>
      </c>
      <c r="G28" s="613">
        <v>13.5</v>
      </c>
      <c r="H28" s="614"/>
      <c r="I28" s="615">
        <v>3.3</v>
      </c>
      <c r="J28" s="615"/>
      <c r="K28" s="613"/>
      <c r="L28" s="615"/>
      <c r="M28" s="615"/>
      <c r="N28" s="615"/>
      <c r="R28" s="616" t="s">
        <v>378</v>
      </c>
      <c r="T28" s="617"/>
      <c r="U28" s="617"/>
      <c r="V28" s="618"/>
      <c r="W28" s="618"/>
      <c r="X28" s="619" t="s">
        <v>244</v>
      </c>
      <c r="Y28" s="632">
        <v>135000</v>
      </c>
      <c r="Z28" s="632">
        <v>240000</v>
      </c>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row>
    <row r="29" spans="1:108" hidden="1">
      <c r="A29" s="147"/>
      <c r="B29" s="147"/>
      <c r="C29" s="83" t="s">
        <v>262</v>
      </c>
      <c r="D29" s="612" t="s">
        <v>380</v>
      </c>
      <c r="E29" s="613"/>
      <c r="F29" s="613">
        <v>9.9</v>
      </c>
      <c r="G29" s="613">
        <v>12.5</v>
      </c>
      <c r="H29" s="614"/>
      <c r="I29" s="615">
        <v>3.2</v>
      </c>
      <c r="J29" s="615"/>
      <c r="K29" s="613"/>
      <c r="L29" s="615"/>
      <c r="M29" s="615"/>
      <c r="N29" s="615"/>
      <c r="R29" s="616" t="s">
        <v>378</v>
      </c>
      <c r="T29" s="617"/>
      <c r="U29" s="617"/>
      <c r="V29" s="618"/>
      <c r="W29" s="618"/>
      <c r="X29" s="619" t="s">
        <v>244</v>
      </c>
      <c r="Y29" s="632">
        <v>240000</v>
      </c>
      <c r="Z29" s="632">
        <v>1000000</v>
      </c>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row>
    <row r="30" spans="1:108" hidden="1">
      <c r="A30" s="147"/>
      <c r="B30" s="147"/>
      <c r="C30" s="83" t="s">
        <v>259</v>
      </c>
      <c r="D30" s="612" t="s">
        <v>377</v>
      </c>
      <c r="E30" s="613"/>
      <c r="F30" s="613">
        <v>12</v>
      </c>
      <c r="G30" s="613">
        <v>14.1</v>
      </c>
      <c r="H30" s="614"/>
      <c r="I30" s="615">
        <v>3.4</v>
      </c>
      <c r="J30" s="620"/>
      <c r="K30" s="621"/>
      <c r="L30" s="620"/>
      <c r="M30" s="620"/>
      <c r="N30" s="620"/>
      <c r="R30" s="616" t="s">
        <v>378</v>
      </c>
      <c r="T30" s="622"/>
      <c r="U30" s="622"/>
      <c r="V30" s="619"/>
      <c r="W30" s="619"/>
      <c r="X30" s="619" t="s">
        <v>244</v>
      </c>
      <c r="Y30" s="632">
        <v>65000</v>
      </c>
      <c r="Z30" s="632">
        <v>135000</v>
      </c>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row>
    <row r="31" spans="1:108" hidden="1">
      <c r="A31" s="147"/>
      <c r="B31" s="147"/>
      <c r="C31" s="83" t="s">
        <v>259</v>
      </c>
      <c r="D31" s="612" t="s">
        <v>379</v>
      </c>
      <c r="E31" s="613"/>
      <c r="F31" s="613">
        <v>10.7</v>
      </c>
      <c r="G31" s="613">
        <v>13.5</v>
      </c>
      <c r="H31" s="614"/>
      <c r="I31" s="615">
        <v>3.3</v>
      </c>
      <c r="J31" s="620"/>
      <c r="K31" s="621"/>
      <c r="L31" s="620"/>
      <c r="M31" s="620"/>
      <c r="N31" s="620"/>
      <c r="R31" s="616" t="s">
        <v>378</v>
      </c>
      <c r="T31" s="622"/>
      <c r="U31" s="622"/>
      <c r="V31" s="619"/>
      <c r="W31" s="619"/>
      <c r="X31" s="619" t="s">
        <v>244</v>
      </c>
      <c r="Y31" s="632">
        <v>135000</v>
      </c>
      <c r="Z31" s="632">
        <v>240000</v>
      </c>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row>
    <row r="32" spans="1:108" hidden="1">
      <c r="A32" s="147"/>
      <c r="B32" s="147"/>
      <c r="C32" s="83" t="s">
        <v>259</v>
      </c>
      <c r="D32" s="612" t="s">
        <v>380</v>
      </c>
      <c r="E32" s="613"/>
      <c r="F32" s="613">
        <v>9.9</v>
      </c>
      <c r="G32" s="613">
        <v>12.5</v>
      </c>
      <c r="H32" s="614"/>
      <c r="I32" s="615">
        <v>3.2</v>
      </c>
      <c r="J32" s="620"/>
      <c r="K32" s="621"/>
      <c r="L32" s="620"/>
      <c r="M32" s="620"/>
      <c r="N32" s="620"/>
      <c r="R32" s="616" t="s">
        <v>378</v>
      </c>
      <c r="T32" s="622"/>
      <c r="U32" s="622"/>
      <c r="V32" s="619"/>
      <c r="W32" s="619"/>
      <c r="X32" s="619" t="s">
        <v>244</v>
      </c>
      <c r="Y32" s="632">
        <v>240000</v>
      </c>
      <c r="Z32" s="632">
        <v>1000000</v>
      </c>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row>
    <row r="33" spans="1:108" hidden="1">
      <c r="A33" s="147"/>
      <c r="B33" s="147"/>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row>
    <row r="34" spans="1:108" hidden="1">
      <c r="A34" s="147"/>
      <c r="B34" s="147"/>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row>
    <row r="35" spans="1:108" hidden="1">
      <c r="A35" s="147"/>
      <c r="B35" s="147"/>
      <c r="C35" s="11"/>
      <c r="D35" s="11"/>
      <c r="E35" s="11"/>
      <c r="F35" s="11"/>
      <c r="G35" s="557"/>
      <c r="H35" s="11"/>
      <c r="I35" s="11"/>
      <c r="J35" s="11"/>
      <c r="K35" s="11"/>
      <c r="L35" s="11"/>
      <c r="M35" s="11"/>
      <c r="N35" s="11"/>
      <c r="O35" s="11"/>
      <c r="P35" s="11"/>
      <c r="Q35" s="11"/>
      <c r="R35" s="11"/>
      <c r="S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row>
    <row r="36" spans="1:108" hidden="1">
      <c r="A36" s="147"/>
      <c r="B36" s="147"/>
      <c r="C36" s="11"/>
      <c r="D36" s="11"/>
      <c r="E36" s="11"/>
      <c r="F36" s="11"/>
      <c r="G36" s="557"/>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row>
    <row r="37" spans="1:108" hidden="1">
      <c r="A37" s="147"/>
      <c r="B37" s="147"/>
      <c r="C37" s="390" t="s">
        <v>316</v>
      </c>
      <c r="D37" s="11"/>
      <c r="E37" s="456" t="s">
        <v>381</v>
      </c>
      <c r="F37" s="456" t="s">
        <v>168</v>
      </c>
      <c r="G37" s="557"/>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row>
    <row r="38" spans="1:108" hidden="1">
      <c r="A38" s="147"/>
      <c r="B38" s="147"/>
      <c r="C38" s="391" t="s">
        <v>243</v>
      </c>
      <c r="D38" s="11" t="s">
        <v>238</v>
      </c>
      <c r="E38" s="43" t="s">
        <v>259</v>
      </c>
      <c r="F38" s="43">
        <v>15</v>
      </c>
      <c r="G38" s="557"/>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row>
    <row r="39" spans="1:108" hidden="1">
      <c r="A39" s="147"/>
      <c r="B39" s="147"/>
      <c r="C39" s="391" t="s">
        <v>241</v>
      </c>
      <c r="D39" s="11" t="s">
        <v>382</v>
      </c>
      <c r="E39" s="43" t="s">
        <v>262</v>
      </c>
      <c r="F39" s="11"/>
      <c r="G39" s="557"/>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row>
    <row r="40" spans="1:108" hidden="1">
      <c r="A40" s="147"/>
      <c r="B40" s="147"/>
      <c r="C40" s="391" t="s">
        <v>317</v>
      </c>
      <c r="D40" s="11"/>
      <c r="E40" s="43"/>
      <c r="F40" s="11"/>
      <c r="G40" s="557"/>
      <c r="H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row>
    <row r="41" spans="1:108" hidden="1">
      <c r="A41" s="147"/>
      <c r="B41" s="147"/>
      <c r="C41" s="391" t="s">
        <v>318</v>
      </c>
      <c r="D41" s="11"/>
      <c r="E41" s="11"/>
      <c r="F41" s="11"/>
      <c r="G41" s="557"/>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row>
    <row r="42" spans="1:108" hidden="1">
      <c r="A42" s="147"/>
      <c r="B42" s="147"/>
      <c r="C42" s="11"/>
      <c r="D42" s="11"/>
      <c r="E42" s="11"/>
      <c r="F42" s="11"/>
      <c r="G42" s="557"/>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row>
    <row r="43" spans="1:108" ht="15.75" hidden="1" thickBot="1">
      <c r="A43" s="147"/>
      <c r="B43" s="761" t="s">
        <v>383</v>
      </c>
      <c r="C43" s="761"/>
      <c r="D43" s="761"/>
      <c r="E43" s="761"/>
      <c r="F43" s="761"/>
      <c r="G43" s="76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row>
    <row r="44" spans="1:108" ht="15.75" hidden="1" thickBot="1">
      <c r="A44" s="11"/>
      <c r="B44" s="557"/>
      <c r="C44" s="569" t="s">
        <v>250</v>
      </c>
      <c r="D44" s="570" t="s">
        <v>384</v>
      </c>
      <c r="E44" s="570" t="s">
        <v>385</v>
      </c>
      <c r="F44" s="570" t="s">
        <v>386</v>
      </c>
      <c r="G44" s="557"/>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row>
    <row r="45" spans="1:108" ht="15.75" hidden="1" thickBot="1">
      <c r="A45" s="11"/>
      <c r="B45" s="557"/>
      <c r="C45" s="571" t="s">
        <v>387</v>
      </c>
      <c r="D45" s="572">
        <v>15</v>
      </c>
      <c r="E45" s="572">
        <v>12.1</v>
      </c>
      <c r="F45" s="572">
        <v>8.8000000000000007</v>
      </c>
      <c r="G45" s="557"/>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row>
    <row r="46" spans="1:108" ht="15.75" hidden="1" thickBot="1">
      <c r="A46" s="11"/>
      <c r="B46" s="557"/>
      <c r="C46" s="571" t="s">
        <v>388</v>
      </c>
      <c r="D46" s="572">
        <v>13.9</v>
      </c>
      <c r="E46" s="572">
        <v>11.6</v>
      </c>
      <c r="F46" s="572">
        <v>7.9</v>
      </c>
      <c r="G46" s="557"/>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row>
    <row r="47" spans="1:108" hidden="1">
      <c r="A47" s="11"/>
      <c r="B47" s="557"/>
      <c r="C47" s="557"/>
      <c r="D47" s="557"/>
      <c r="E47" s="557"/>
      <c r="F47" s="557"/>
      <c r="G47" s="557"/>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row>
    <row r="48" spans="1:108">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row>
    <row r="49" spans="1:107">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row>
    <row r="50" spans="1:107">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row>
    <row r="51" spans="1:107">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row>
    <row r="52" spans="1:107">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row>
    <row r="53" spans="1:107">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row>
    <row r="54" spans="1:107">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row>
    <row r="55" spans="1:107">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row>
    <row r="56" spans="1:107">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row>
    <row r="57" spans="1:107">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row>
    <row r="58" spans="1:107">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row>
    <row r="59" spans="1:107">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row>
    <row r="60" spans="1:107">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row>
    <row r="61" spans="1:107">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row>
    <row r="62" spans="1:107">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row>
    <row r="63" spans="1:107">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row>
    <row r="64" spans="1:107">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row>
    <row r="65" spans="1:107">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row>
    <row r="66" spans="1:107">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row>
    <row r="67" spans="1:107">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row>
    <row r="68" spans="1:107">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row>
    <row r="69" spans="1:107">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row>
    <row r="70" spans="1:107">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row>
    <row r="71" spans="1:107">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row>
    <row r="72" spans="1:107">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row>
    <row r="73" spans="1:107">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row>
    <row r="74" spans="1:107">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row>
    <row r="75" spans="1:107">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row>
    <row r="76" spans="1:107">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row>
    <row r="77" spans="1:107">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row>
    <row r="78" spans="1:107">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row>
    <row r="79" spans="1:107">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row>
    <row r="80" spans="1:107">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row>
    <row r="81" spans="1:107">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row>
    <row r="82" spans="1:107">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row>
    <row r="83" spans="1:107">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row>
    <row r="84" spans="1:107">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row>
    <row r="85" spans="1:107">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row>
    <row r="86" spans="1:107">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row>
    <row r="87" spans="1:107">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row>
    <row r="88" spans="1:107">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row>
    <row r="89" spans="1:107">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row>
    <row r="90" spans="1:107">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row>
    <row r="91" spans="1:107">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row>
    <row r="92" spans="1:107">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row>
    <row r="93" spans="1:107">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row>
    <row r="94" spans="1:107">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row>
    <row r="95" spans="1:107">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row>
    <row r="96" spans="1:107">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row>
    <row r="97" spans="1:107">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row>
    <row r="98" spans="1:107">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row>
    <row r="99" spans="1:107">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row>
    <row r="100" spans="1:107">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row>
    <row r="101" spans="1:107">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row>
    <row r="102" spans="1:107">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row>
    <row r="103" spans="1:107">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row>
    <row r="104" spans="1:107">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row>
    <row r="105" spans="1:107">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row>
    <row r="106" spans="1:107">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row>
    <row r="107" spans="1:107">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row>
    <row r="108" spans="1:107">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row>
    <row r="109" spans="1:107">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row>
    <row r="110" spans="1:107">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row>
    <row r="111" spans="1:107">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row>
    <row r="112" spans="1:107">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row>
    <row r="113" spans="1:107">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row>
    <row r="114" spans="1:107">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s="11"/>
    </row>
    <row r="115" spans="1:107">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s="11"/>
    </row>
    <row r="116" spans="1:107">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row>
    <row r="117" spans="1:107">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c r="DA117" s="11"/>
      <c r="DB117" s="11"/>
      <c r="DC117" s="11"/>
    </row>
    <row r="118" spans="1:107">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row>
    <row r="119" spans="1:107">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row>
    <row r="120" spans="1:107">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1"/>
      <c r="CZ120" s="11"/>
      <c r="DA120" s="11"/>
      <c r="DB120" s="11"/>
      <c r="DC120" s="11"/>
    </row>
    <row r="121" spans="1:107">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1"/>
      <c r="CZ121" s="11"/>
      <c r="DA121" s="11"/>
      <c r="DB121" s="11"/>
      <c r="DC121" s="11"/>
    </row>
    <row r="122" spans="1:107">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c r="DB122" s="11"/>
      <c r="DC122" s="11"/>
    </row>
    <row r="123" spans="1:107">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row>
    <row r="124" spans="1:107">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row>
    <row r="125" spans="1:107">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c r="DB125" s="11"/>
      <c r="DC125" s="11"/>
    </row>
    <row r="126" spans="1:107">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row>
    <row r="127" spans="1:107">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row>
    <row r="128" spans="1:107">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row>
    <row r="129" spans="1:107">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row>
    <row r="130" spans="1:107">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row>
    <row r="131" spans="1:107">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row>
    <row r="132" spans="1:107">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row>
    <row r="133" spans="1:107">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row>
    <row r="134" spans="1:107">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row>
    <row r="135" spans="1:107">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row>
    <row r="136" spans="1:107">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row>
    <row r="137" spans="1:107">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row>
    <row r="138" spans="1:107">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row>
    <row r="139" spans="1:107">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row>
    <row r="140" spans="1:107">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row>
    <row r="141" spans="1:107">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107">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row>
    <row r="143" spans="1:107">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row>
    <row r="144" spans="1:107">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row>
    <row r="145" spans="1:67">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row>
    <row r="146" spans="1:67">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row>
    <row r="147" spans="1:67">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row>
    <row r="148" spans="1:67">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row>
    <row r="149" spans="1:67">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row>
    <row r="150" spans="1:67">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row>
    <row r="151" spans="1:67">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row>
    <row r="152" spans="1:67">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row>
    <row r="153" spans="1:67">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row>
    <row r="154" spans="1:67">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row>
    <row r="155" spans="1:67">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row>
    <row r="156" spans="1:67">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row>
    <row r="157" spans="1:67">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row>
    <row r="158" spans="1:67">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row>
    <row r="159" spans="1:67">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row>
    <row r="160" spans="1:67">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row>
    <row r="161" spans="1:67">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row>
    <row r="162" spans="1:67">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row>
    <row r="163" spans="1:67">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row>
    <row r="164" spans="1:67">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row>
    <row r="165" spans="1:67">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row>
    <row r="166" spans="1:67">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row>
    <row r="167" spans="1:67">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row>
    <row r="168" spans="1:67">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row>
    <row r="169" spans="1:67">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row>
    <row r="170" spans="1:67">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row>
    <row r="171" spans="1:67">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row>
    <row r="172" spans="1:67">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row>
    <row r="173" spans="1:67">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row>
    <row r="174" spans="1:67">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row>
    <row r="175" spans="1:67">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row>
    <row r="176" spans="1:67">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row>
    <row r="177" spans="1:67">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row>
    <row r="178" spans="1:67">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row>
    <row r="179" spans="1:67">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row>
    <row r="180" spans="1:67">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row>
    <row r="181" spans="1:67">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row>
    <row r="182" spans="1:67">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row>
    <row r="183" spans="1:67">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row>
    <row r="184" spans="1:67">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row>
    <row r="185" spans="1:67">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row>
    <row r="186" spans="1:67">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row>
    <row r="187" spans="1:67">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row>
    <row r="188" spans="1:67">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row>
    <row r="189" spans="1:67">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row>
    <row r="190" spans="1:67">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row>
    <row r="191" spans="1:67">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row>
    <row r="192" spans="1:67">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row>
    <row r="193" spans="1:67">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row>
    <row r="194" spans="1:67">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row>
    <row r="195" spans="1:67">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row>
    <row r="196" spans="1:67">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row>
    <row r="197" spans="1:67">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row>
    <row r="198" spans="1:67">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row>
    <row r="199" spans="1:67">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row>
    <row r="200" spans="1:67">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row>
    <row r="201" spans="1:67">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row>
    <row r="202" spans="1:67">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row>
    <row r="203" spans="1:67">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row>
    <row r="204" spans="1:67">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row>
    <row r="205" spans="1:67">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row>
    <row r="206" spans="1:67">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row>
    <row r="207" spans="1:67">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row>
    <row r="208" spans="1:67">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row>
    <row r="209" spans="1:67">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row>
    <row r="210" spans="1:67">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row>
    <row r="211" spans="1:67">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row>
    <row r="212" spans="1:67">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row>
    <row r="213" spans="1:67">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row>
    <row r="214" spans="1:67">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row>
    <row r="215" spans="1:67">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row>
    <row r="216" spans="1:67">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row>
    <row r="217" spans="1:67">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row>
    <row r="218" spans="1:67">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row>
    <row r="219" spans="1:67">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row>
    <row r="220" spans="1:67">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row>
    <row r="221" spans="1:67">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row>
    <row r="222" spans="1:67">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row>
    <row r="223" spans="1:67">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row>
    <row r="224" spans="1:67">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row>
    <row r="225" spans="1:67">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row>
    <row r="226" spans="1:67">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row>
    <row r="227" spans="1:67">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row>
    <row r="228" spans="1:67">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row>
    <row r="229" spans="1:67">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row>
    <row r="230" spans="1:67">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row>
    <row r="231" spans="1:67">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row>
    <row r="232" spans="1:67">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row>
    <row r="233" spans="1:67">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row>
    <row r="234" spans="1:67">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row>
    <row r="235" spans="1:67">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row>
    <row r="236" spans="1:67">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row>
    <row r="237" spans="1:67">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row>
    <row r="238" spans="1:67">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row>
    <row r="239" spans="1:67">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row>
    <row r="240" spans="1:67">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row>
    <row r="241" spans="1:67">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row>
    <row r="242" spans="1:67">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row>
    <row r="243" spans="1:67">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row>
    <row r="244" spans="1:67">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row>
    <row r="245" spans="1:67">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row>
    <row r="246" spans="1:67">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row>
    <row r="247" spans="1:67">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row>
    <row r="248" spans="1:67">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row>
    <row r="249" spans="1:67">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row>
    <row r="250" spans="1:67">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row>
    <row r="251" spans="1:67">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row>
    <row r="252" spans="1:67">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row>
    <row r="253" spans="1:67">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row>
    <row r="254" spans="1:67">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row>
    <row r="255" spans="1:67">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row>
    <row r="256" spans="1:67">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row>
    <row r="257" spans="1:67">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row>
    <row r="258" spans="1:67">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row>
    <row r="259" spans="1:67">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row>
    <row r="260" spans="1:67">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row>
    <row r="261" spans="1:67">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row>
    <row r="262" spans="1:67">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row>
    <row r="263" spans="1:67">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row>
    <row r="264" spans="1:67">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row>
    <row r="265" spans="1:67">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row>
    <row r="266" spans="1:67">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row>
    <row r="267" spans="1:67">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row>
    <row r="268" spans="1:67">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row>
    <row r="269" spans="1:67">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row>
    <row r="270" spans="1:67">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row>
    <row r="271" spans="1:67">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row>
    <row r="272" spans="1:67">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row>
    <row r="273" spans="1:67">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row>
    <row r="274" spans="1:67">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row>
    <row r="275" spans="1:67">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row>
    <row r="276" spans="1:67">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row>
    <row r="277" spans="1:67">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row>
    <row r="278" spans="1:67">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row>
    <row r="279" spans="1:67">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row>
    <row r="280" spans="1:67">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row>
    <row r="281" spans="1:67">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row>
    <row r="282" spans="1:67">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row>
    <row r="283" spans="1:67">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row>
  </sheetData>
  <sheetProtection algorithmName="SHA-512" hashValue="SbX050o/VEAKpAidcEWyitH0FTfik6dxJ5D2ns6B9lmA4Fc6b2OQ/BVh/leCQH5vTsPOuj6/+gzBys7IyrKknA==" saltValue="1YxETL8nnkAzFVMxwItRxw==" spinCount="100000" sheet="1" selectLockedCells="1"/>
  <mergeCells count="69">
    <mergeCell ref="T7:T9"/>
    <mergeCell ref="BO8:BO9"/>
    <mergeCell ref="AA6:AC6"/>
    <mergeCell ref="AM7:AM9"/>
    <mergeCell ref="AF9:AG9"/>
    <mergeCell ref="AA7:AC8"/>
    <mergeCell ref="AD7:AD9"/>
    <mergeCell ref="AE7:AE9"/>
    <mergeCell ref="AF7:AH8"/>
    <mergeCell ref="AL7:AL9"/>
    <mergeCell ref="AY7:AY9"/>
    <mergeCell ref="BM8:BM9"/>
    <mergeCell ref="BN8:BN9"/>
    <mergeCell ref="U7:U9"/>
    <mergeCell ref="K7:K9"/>
    <mergeCell ref="D6:G6"/>
    <mergeCell ref="H6:K6"/>
    <mergeCell ref="N6:Q6"/>
    <mergeCell ref="S6:Z6"/>
    <mergeCell ref="P7:P9"/>
    <mergeCell ref="Q7:Q9"/>
    <mergeCell ref="S7:S9"/>
    <mergeCell ref="V7:V9"/>
    <mergeCell ref="W7:W9"/>
    <mergeCell ref="X7:Z8"/>
    <mergeCell ref="X9:Y9"/>
    <mergeCell ref="L7:L9"/>
    <mergeCell ref="M7:M9"/>
    <mergeCell ref="N7:N9"/>
    <mergeCell ref="O7:O9"/>
    <mergeCell ref="B7:B9"/>
    <mergeCell ref="C7:C9"/>
    <mergeCell ref="H7:H9"/>
    <mergeCell ref="I7:I9"/>
    <mergeCell ref="J7:J9"/>
    <mergeCell ref="D8:D9"/>
    <mergeCell ref="E8:E9"/>
    <mergeCell ref="F8:F9"/>
    <mergeCell ref="G8:G9"/>
    <mergeCell ref="B43:G43"/>
    <mergeCell ref="AK6:AK9"/>
    <mergeCell ref="AA9:AB9"/>
    <mergeCell ref="BA7:BA9"/>
    <mergeCell ref="BB7:BB9"/>
    <mergeCell ref="AX7:AX9"/>
    <mergeCell ref="AS7:AS9"/>
    <mergeCell ref="AT7:AT9"/>
    <mergeCell ref="AU7:AU9"/>
    <mergeCell ref="AV7:AV9"/>
    <mergeCell ref="AW7:AW9"/>
    <mergeCell ref="AN7:AN9"/>
    <mergeCell ref="AO7:AO9"/>
    <mergeCell ref="AP7:AP9"/>
    <mergeCell ref="AQ7:AQ9"/>
    <mergeCell ref="AR7:AR9"/>
    <mergeCell ref="BP8:BP9"/>
    <mergeCell ref="BQ8:BQ9"/>
    <mergeCell ref="AI6:AI9"/>
    <mergeCell ref="BC7:BC9"/>
    <mergeCell ref="BD7:BD9"/>
    <mergeCell ref="BH7:BH9"/>
    <mergeCell ref="BJ7:BJ9"/>
    <mergeCell ref="BK7:BK9"/>
    <mergeCell ref="BL7:BL9"/>
    <mergeCell ref="BF7:BF9"/>
    <mergeCell ref="BG7:BG9"/>
    <mergeCell ref="BE7:BE9"/>
    <mergeCell ref="AJ6:AJ9"/>
    <mergeCell ref="AZ7:AZ9"/>
  </mergeCells>
  <conditionalFormatting sqref="H11:M18">
    <cfRule type="expression" dxfId="24" priority="4" stopIfTrue="1">
      <formula>IF($D11="New Construction", TRUE, FALSE)</formula>
    </cfRule>
  </conditionalFormatting>
  <conditionalFormatting sqref="Z11:Z18 AH11:AH18">
    <cfRule type="expression" dxfId="23" priority="6">
      <formula>IF(AND($Z11="", $V11&lt;&gt;"", $V11&lt;65000), TRUE, FALSE)</formula>
    </cfRule>
  </conditionalFormatting>
  <conditionalFormatting sqref="AC11:AC18">
    <cfRule type="expression" dxfId="22" priority="2">
      <formula>IF($V11="", TRUE, FALSE)</formula>
    </cfRule>
  </conditionalFormatting>
  <conditionalFormatting sqref="AZ11:BF18">
    <cfRule type="expression" dxfId="21" priority="1" stopIfTrue="1">
      <formula>IF($BH11="No", TRUE, FALSE)</formula>
    </cfRule>
  </conditionalFormatting>
  <dataValidations count="7">
    <dataValidation type="list" allowBlank="1" showInputMessage="1" showErrorMessage="1" sqref="E11:E18" xr:uid="{57EAB19A-6649-4BA6-A305-385390F22649}">
      <formula1>Facility_Types</formula1>
    </dataValidation>
    <dataValidation type="list" allowBlank="1" showInputMessage="1" showErrorMessage="1" sqref="F11:F18" xr:uid="{EA4414EE-007B-47AD-82C3-B13AFFD05FB7}">
      <formula1>Zip_Code</formula1>
    </dataValidation>
    <dataValidation type="list" allowBlank="1" showInputMessage="1" showErrorMessage="1" sqref="D11:D18" xr:uid="{89D96418-4FA9-4FA5-9A65-0791F3331AEC}">
      <formula1>Project_Type</formula1>
    </dataValidation>
    <dataValidation type="list" allowBlank="1" showInputMessage="1" showErrorMessage="1" sqref="U11:U18" xr:uid="{A363DD09-D837-44F8-98B5-2D07A59AB270}">
      <formula1>"Single, Three"</formula1>
    </dataValidation>
    <dataValidation type="list" allowBlank="1" showInputMessage="1" showErrorMessage="1" sqref="O11:O18" xr:uid="{C1F01CB2-FAF2-48D1-9F00-53B5BC4751B4}">
      <formula1>$E$38:$E$39</formula1>
    </dataValidation>
    <dataValidation type="decimal" errorStyle="information" operator="lessThan" allowBlank="1" showInputMessage="1" showErrorMessage="1" error="Only units less than 65,000 Btu/h are eligible for this measure.  " sqref="V12:V18" xr:uid="{887C0B44-6AD2-4DA5-907A-66790D81E2AD}">
      <formula1>65000</formula1>
    </dataValidation>
    <dataValidation type="decimal" errorStyle="information" operator="lessThan" allowBlank="1" showInputMessage="1" showErrorMessage="1" error="Only units less than 65,000 Btu/h are eligible for this measure.  " sqref="V11" xr:uid="{8F273531-81A1-47D1-8A28-338F3919810F}">
      <formula1>65001</formula1>
    </dataValidation>
  </dataValidation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DJ318"/>
  <sheetViews>
    <sheetView workbookViewId="0">
      <selection activeCell="E16" sqref="E16"/>
    </sheetView>
  </sheetViews>
  <sheetFormatPr defaultRowHeight="15"/>
  <cols>
    <col min="1" max="1" width="1.42578125" customWidth="1"/>
    <col min="2" max="2" width="6.85546875" customWidth="1"/>
    <col min="3" max="3" width="27.7109375" customWidth="1"/>
    <col min="4" max="4" width="37.7109375" customWidth="1"/>
    <col min="5" max="5" width="27.140625" bestFit="1" customWidth="1"/>
    <col min="6" max="6" width="17.28515625" customWidth="1"/>
    <col min="7" max="7" width="16.140625" customWidth="1"/>
    <col min="8" max="8" width="16.85546875" customWidth="1"/>
    <col min="9" max="9" width="31.85546875" customWidth="1"/>
    <col min="10" max="11" width="18.140625" customWidth="1"/>
    <col min="12" max="12" width="35.7109375" customWidth="1"/>
    <col min="13" max="13" width="16.42578125" customWidth="1"/>
    <col min="14" max="14" width="13.42578125" customWidth="1"/>
    <col min="15" max="16" width="15.7109375" customWidth="1"/>
    <col min="17" max="18" width="11.140625" customWidth="1"/>
    <col min="19" max="19" width="18.28515625" customWidth="1"/>
    <col min="20" max="21" width="13.28515625" customWidth="1"/>
    <col min="22" max="22" width="23.5703125" bestFit="1" customWidth="1"/>
    <col min="23" max="25" width="16.7109375" customWidth="1"/>
    <col min="26" max="26" width="28.7109375" bestFit="1" customWidth="1"/>
    <col min="27" max="28" width="17" customWidth="1"/>
    <col min="29" max="30" width="12.42578125" customWidth="1"/>
    <col min="31" max="32" width="8.42578125" customWidth="1"/>
    <col min="33" max="33" width="10" customWidth="1"/>
    <col min="34" max="34" width="15.42578125" customWidth="1"/>
    <col min="35" max="36" width="8.42578125" customWidth="1"/>
    <col min="37" max="37" width="12.140625" customWidth="1"/>
    <col min="38" max="40" width="13.5703125" customWidth="1"/>
    <col min="41" max="43" width="12.42578125" customWidth="1"/>
    <col min="44" max="44" width="12.42578125" hidden="1" customWidth="1"/>
    <col min="45" max="50" width="11.85546875" hidden="1" customWidth="1"/>
    <col min="51" max="52" width="14.28515625" hidden="1" customWidth="1"/>
    <col min="53" max="54" width="11.42578125" hidden="1" customWidth="1"/>
    <col min="55" max="64" width="10.85546875" hidden="1" customWidth="1"/>
    <col min="65" max="66" width="9.140625" hidden="1" customWidth="1"/>
    <col min="67" max="70" width="12.140625" hidden="1" customWidth="1"/>
    <col min="71" max="71" width="12.140625" customWidth="1"/>
    <col min="72" max="72" width="13.140625" customWidth="1"/>
    <col min="73" max="73" width="13.140625" hidden="1" customWidth="1"/>
    <col min="74" max="75" width="13.42578125" hidden="1" customWidth="1"/>
    <col min="76" max="76" width="13.42578125" customWidth="1"/>
    <col min="77" max="77" width="13.42578125" hidden="1" customWidth="1"/>
    <col min="78" max="78" width="13.42578125" customWidth="1"/>
    <col min="79" max="79" width="54.7109375" hidden="1" customWidth="1"/>
    <col min="80" max="80" width="13.5703125" customWidth="1"/>
    <col min="81" max="81" width="53.42578125" hidden="1" customWidth="1"/>
    <col min="82" max="82" width="45.7109375" hidden="1" customWidth="1"/>
    <col min="83" max="83" width="16.5703125" hidden="1" customWidth="1"/>
    <col min="84" max="84" width="14.42578125" customWidth="1"/>
    <col min="85" max="85" width="12.7109375" customWidth="1"/>
    <col min="86" max="86" width="32.7109375" hidden="1" customWidth="1"/>
    <col min="87" max="88" width="14.42578125" customWidth="1"/>
    <col min="89" max="89" width="12.7109375" customWidth="1"/>
    <col min="90" max="90" width="14.85546875" customWidth="1"/>
    <col min="91" max="91" width="12.7109375" customWidth="1"/>
  </cols>
  <sheetData>
    <row r="1" spans="1:112" ht="26.25" customHeight="1">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94" t="s">
        <v>389</v>
      </c>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row>
    <row r="2" spans="1:112" ht="26.25" customHeight="1">
      <c r="A2" s="11"/>
      <c r="B2" s="11"/>
      <c r="C2" s="11"/>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row>
    <row r="3" spans="1:112" ht="26.25" customHeight="1">
      <c r="A3" s="11"/>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row>
    <row r="4" spans="1:112" ht="26.25" customHeight="1">
      <c r="A4" s="11"/>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64"/>
      <c r="BI4" s="164"/>
      <c r="BJ4" s="164"/>
      <c r="BK4" s="164"/>
      <c r="BL4" s="164"/>
      <c r="BM4" s="164"/>
      <c r="BN4" s="164"/>
      <c r="BO4" s="164"/>
      <c r="BP4" s="164"/>
      <c r="BQ4" s="164"/>
      <c r="BR4" s="164"/>
      <c r="BS4" s="164"/>
      <c r="BT4" s="164"/>
      <c r="BU4" s="164"/>
      <c r="BV4" s="164"/>
      <c r="BW4" s="164"/>
      <c r="BX4" s="164"/>
      <c r="BY4" s="164"/>
      <c r="BZ4" s="164"/>
      <c r="CA4" s="164"/>
      <c r="CB4" s="164"/>
      <c r="CC4" s="164"/>
      <c r="CD4" s="164"/>
      <c r="CE4" s="164"/>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row>
    <row r="5" spans="1:112" ht="13.5" customHeight="1">
      <c r="A5" s="11"/>
      <c r="B5" s="164"/>
      <c r="C5" s="164"/>
      <c r="D5" s="164"/>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4"/>
      <c r="AW5" s="164"/>
      <c r="AX5" s="164"/>
      <c r="AY5" s="164"/>
      <c r="AZ5" s="164"/>
      <c r="BA5" s="164"/>
      <c r="BB5" s="164"/>
      <c r="BC5" s="164"/>
      <c r="BD5" s="164"/>
      <c r="BE5" s="164"/>
      <c r="BF5" s="164"/>
      <c r="BG5" s="164"/>
      <c r="BH5" s="164"/>
      <c r="BI5" s="193"/>
      <c r="BJ5" s="164"/>
      <c r="BK5" s="164"/>
      <c r="BL5" s="164"/>
      <c r="BM5" s="164"/>
      <c r="BN5" s="164"/>
      <c r="BO5" s="164"/>
      <c r="BP5" s="164"/>
      <c r="BQ5" s="164"/>
      <c r="BR5" s="164"/>
      <c r="BS5" s="164"/>
      <c r="BT5" s="164"/>
      <c r="BU5" s="164"/>
      <c r="BV5" s="164"/>
      <c r="BW5" s="164"/>
      <c r="BX5" s="164"/>
      <c r="BY5" s="164"/>
      <c r="BZ5" s="164"/>
      <c r="CA5" s="164"/>
      <c r="CB5" s="164"/>
      <c r="CC5" s="164"/>
      <c r="CD5" s="164"/>
      <c r="CE5" s="164"/>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row>
    <row r="6" spans="1:112" s="11" customFormat="1" ht="1.5" customHeight="1">
      <c r="BD6" s="394"/>
      <c r="BE6" s="395"/>
      <c r="BF6" s="395"/>
      <c r="BG6" s="396"/>
      <c r="BI6" s="151"/>
    </row>
    <row r="7" spans="1:112" ht="14.25" customHeight="1">
      <c r="A7" s="11"/>
      <c r="B7" s="192"/>
      <c r="C7" s="192"/>
      <c r="D7" s="732" t="s">
        <v>390</v>
      </c>
      <c r="E7" s="727"/>
      <c r="F7" s="727"/>
      <c r="G7" s="736"/>
      <c r="H7" s="732" t="s">
        <v>178</v>
      </c>
      <c r="I7" s="727"/>
      <c r="J7" s="228"/>
      <c r="K7" s="228"/>
      <c r="L7" s="228"/>
      <c r="M7" s="228"/>
      <c r="N7" s="228"/>
      <c r="O7" s="228"/>
      <c r="P7" s="228"/>
      <c r="Q7" s="228"/>
      <c r="R7" s="228"/>
      <c r="S7" s="228"/>
      <c r="T7" s="732" t="s">
        <v>114</v>
      </c>
      <c r="U7" s="727"/>
      <c r="V7" s="727"/>
      <c r="W7" s="727"/>
      <c r="X7" s="727"/>
      <c r="Y7" s="727"/>
      <c r="Z7" s="727"/>
      <c r="AA7" s="727"/>
      <c r="AB7" s="727"/>
      <c r="AC7" s="150"/>
      <c r="AD7" s="150"/>
      <c r="AE7" s="150"/>
      <c r="AF7" s="229"/>
      <c r="AG7" s="229"/>
      <c r="AH7" s="150"/>
      <c r="AI7" s="150"/>
      <c r="AJ7" s="150"/>
      <c r="AK7" s="150"/>
      <c r="AL7" s="150"/>
      <c r="AM7" s="150"/>
      <c r="AN7" s="150"/>
      <c r="AO7" s="150"/>
      <c r="AP7" s="150"/>
      <c r="AQ7" s="222"/>
      <c r="AR7" s="147"/>
      <c r="AS7" s="147"/>
      <c r="AT7" s="147"/>
      <c r="AU7" s="147"/>
      <c r="AV7" s="147"/>
      <c r="AW7" s="147"/>
      <c r="AX7" s="147"/>
      <c r="AY7" s="147"/>
      <c r="AZ7" s="147"/>
      <c r="BA7" s="147"/>
      <c r="BB7" s="147"/>
      <c r="BC7" s="147"/>
      <c r="BD7" s="766" t="s">
        <v>391</v>
      </c>
      <c r="BE7" s="760"/>
      <c r="BF7" s="760"/>
      <c r="BG7" s="767"/>
      <c r="BH7" s="458"/>
      <c r="BI7" s="152"/>
      <c r="BJ7" s="147"/>
      <c r="BK7" s="147"/>
      <c r="BL7" s="147"/>
      <c r="BM7" s="768" t="s">
        <v>392</v>
      </c>
      <c r="BN7" s="769"/>
      <c r="BO7" s="147"/>
      <c r="BP7" s="147"/>
      <c r="BQ7" s="698" t="s">
        <v>393</v>
      </c>
      <c r="BR7" s="698" t="s">
        <v>394</v>
      </c>
      <c r="BS7" s="150"/>
      <c r="BT7" s="150"/>
      <c r="BU7" s="147"/>
      <c r="BV7" s="147"/>
      <c r="BW7" s="147"/>
      <c r="BX7" s="150"/>
      <c r="BY7" s="147"/>
      <c r="BZ7" s="150"/>
      <c r="CA7" s="147"/>
      <c r="CB7" s="150"/>
      <c r="CC7" s="147"/>
      <c r="CD7" s="147"/>
      <c r="CE7" s="147"/>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row>
    <row r="8" spans="1:112" ht="14.25" customHeight="1">
      <c r="A8" s="11"/>
      <c r="B8" s="696" t="s">
        <v>64</v>
      </c>
      <c r="C8" s="696" t="s">
        <v>65</v>
      </c>
      <c r="D8" s="719" t="s">
        <v>115</v>
      </c>
      <c r="E8" s="696" t="s">
        <v>116</v>
      </c>
      <c r="F8" s="696" t="s">
        <v>117</v>
      </c>
      <c r="G8" s="712" t="s">
        <v>118</v>
      </c>
      <c r="H8" s="719" t="s">
        <v>329</v>
      </c>
      <c r="I8" s="696" t="s">
        <v>396</v>
      </c>
      <c r="J8" s="696" t="s">
        <v>397</v>
      </c>
      <c r="K8" s="696" t="s">
        <v>398</v>
      </c>
      <c r="L8" s="696" t="s">
        <v>399</v>
      </c>
      <c r="M8" s="696" t="s">
        <v>400</v>
      </c>
      <c r="N8" s="719" t="s">
        <v>401</v>
      </c>
      <c r="O8" s="696"/>
      <c r="P8" s="696"/>
      <c r="Q8" s="696"/>
      <c r="R8" s="696"/>
      <c r="S8" s="712"/>
      <c r="T8" s="719" t="s">
        <v>136</v>
      </c>
      <c r="U8" s="696" t="s">
        <v>402</v>
      </c>
      <c r="V8" s="696" t="s">
        <v>403</v>
      </c>
      <c r="W8" s="696" t="s">
        <v>186</v>
      </c>
      <c r="X8" s="696" t="s">
        <v>187</v>
      </c>
      <c r="Y8" s="457"/>
      <c r="Z8" s="696" t="s">
        <v>404</v>
      </c>
      <c r="AA8" s="696" t="s">
        <v>405</v>
      </c>
      <c r="AB8" s="696" t="s">
        <v>406</v>
      </c>
      <c r="AC8" s="696" t="s">
        <v>190</v>
      </c>
      <c r="AD8" s="696" t="s">
        <v>407</v>
      </c>
      <c r="AE8" s="719" t="s">
        <v>408</v>
      </c>
      <c r="AF8" s="696"/>
      <c r="AG8" s="696"/>
      <c r="AH8" s="712" t="s">
        <v>409</v>
      </c>
      <c r="AI8" s="719" t="s">
        <v>410</v>
      </c>
      <c r="AJ8" s="696"/>
      <c r="AK8" s="712"/>
      <c r="AL8" s="696" t="s">
        <v>411</v>
      </c>
      <c r="AM8" s="696"/>
      <c r="AN8" s="696"/>
      <c r="AO8" s="696"/>
      <c r="AP8" s="696"/>
      <c r="AQ8" s="712"/>
      <c r="AR8" s="153"/>
      <c r="AS8" s="153"/>
      <c r="AT8" s="153"/>
      <c r="AU8" s="153"/>
      <c r="AV8" s="153"/>
      <c r="AW8" s="153"/>
      <c r="AX8" s="153"/>
      <c r="AY8" s="698" t="s">
        <v>345</v>
      </c>
      <c r="AZ8" s="698" t="s">
        <v>346</v>
      </c>
      <c r="BA8" s="698" t="s">
        <v>412</v>
      </c>
      <c r="BB8" s="698" t="s">
        <v>81</v>
      </c>
      <c r="BC8" s="771" t="s">
        <v>195</v>
      </c>
      <c r="BD8" s="698" t="s">
        <v>197</v>
      </c>
      <c r="BE8" s="698" t="s">
        <v>198</v>
      </c>
      <c r="BF8" s="698" t="s">
        <v>347</v>
      </c>
      <c r="BG8" s="698" t="s">
        <v>348</v>
      </c>
      <c r="BH8" s="698" t="s">
        <v>413</v>
      </c>
      <c r="BI8" s="698" t="s">
        <v>197</v>
      </c>
      <c r="BJ8" s="770" t="s">
        <v>198</v>
      </c>
      <c r="BK8" s="698" t="s">
        <v>347</v>
      </c>
      <c r="BL8" s="698" t="s">
        <v>348</v>
      </c>
      <c r="BM8" s="698" t="s">
        <v>206</v>
      </c>
      <c r="BN8" s="698" t="s">
        <v>370</v>
      </c>
      <c r="BO8" s="698" t="s">
        <v>414</v>
      </c>
      <c r="BP8" s="698" t="s">
        <v>415</v>
      </c>
      <c r="BQ8" s="698"/>
      <c r="BR8" s="698"/>
      <c r="BS8" s="696" t="s">
        <v>395</v>
      </c>
      <c r="BT8" s="696" t="s">
        <v>87</v>
      </c>
      <c r="BU8" s="698" t="s">
        <v>352</v>
      </c>
      <c r="BV8" s="698" t="s">
        <v>353</v>
      </c>
      <c r="BW8" s="698" t="s">
        <v>416</v>
      </c>
      <c r="BX8" s="696" t="s">
        <v>88</v>
      </c>
      <c r="BY8" s="698" t="s">
        <v>204</v>
      </c>
      <c r="BZ8" s="696" t="s">
        <v>89</v>
      </c>
      <c r="CA8" s="698" t="s">
        <v>90</v>
      </c>
      <c r="CB8" s="696" t="s">
        <v>91</v>
      </c>
      <c r="CC8" s="698" t="s">
        <v>132</v>
      </c>
      <c r="CD8" s="698" t="s">
        <v>133</v>
      </c>
      <c r="CE8" s="698" t="s">
        <v>134</v>
      </c>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row>
    <row r="9" spans="1:112" ht="14.25" customHeight="1">
      <c r="A9" s="11"/>
      <c r="B9" s="696"/>
      <c r="C9" s="696"/>
      <c r="D9" s="719"/>
      <c r="E9" s="696"/>
      <c r="F9" s="696"/>
      <c r="G9" s="712"/>
      <c r="H9" s="719"/>
      <c r="I9" s="696"/>
      <c r="J9" s="696"/>
      <c r="K9" s="696"/>
      <c r="L9" s="696"/>
      <c r="M9" s="696"/>
      <c r="N9" s="719" t="s">
        <v>417</v>
      </c>
      <c r="O9" s="696" t="s">
        <v>418</v>
      </c>
      <c r="P9" s="696" t="s">
        <v>419</v>
      </c>
      <c r="Q9" s="696" t="s">
        <v>420</v>
      </c>
      <c r="R9" s="696" t="s">
        <v>421</v>
      </c>
      <c r="S9" s="712" t="s">
        <v>422</v>
      </c>
      <c r="T9" s="719"/>
      <c r="U9" s="696"/>
      <c r="V9" s="696"/>
      <c r="W9" s="696"/>
      <c r="X9" s="696"/>
      <c r="Y9" s="457" t="s">
        <v>354</v>
      </c>
      <c r="Z9" s="696"/>
      <c r="AA9" s="696"/>
      <c r="AB9" s="696"/>
      <c r="AC9" s="696"/>
      <c r="AD9" s="696"/>
      <c r="AE9" s="719"/>
      <c r="AF9" s="696"/>
      <c r="AG9" s="696"/>
      <c r="AH9" s="712"/>
      <c r="AI9" s="719"/>
      <c r="AJ9" s="696"/>
      <c r="AK9" s="712"/>
      <c r="AL9" s="696" t="s">
        <v>417</v>
      </c>
      <c r="AM9" s="696" t="s">
        <v>418</v>
      </c>
      <c r="AN9" s="696" t="s">
        <v>423</v>
      </c>
      <c r="AO9" s="696" t="s">
        <v>420</v>
      </c>
      <c r="AP9" s="696" t="s">
        <v>421</v>
      </c>
      <c r="AQ9" s="712" t="s">
        <v>422</v>
      </c>
      <c r="AR9" s="698" t="s">
        <v>424</v>
      </c>
      <c r="AS9" s="698" t="s">
        <v>425</v>
      </c>
      <c r="AT9" s="698" t="s">
        <v>426</v>
      </c>
      <c r="AU9" s="698" t="s">
        <v>427</v>
      </c>
      <c r="AV9" s="698" t="s">
        <v>428</v>
      </c>
      <c r="AW9" s="698" t="s">
        <v>429</v>
      </c>
      <c r="AX9" s="698" t="s">
        <v>430</v>
      </c>
      <c r="AY9" s="698"/>
      <c r="AZ9" s="698"/>
      <c r="BA9" s="698"/>
      <c r="BB9" s="698"/>
      <c r="BC9" s="771"/>
      <c r="BD9" s="698"/>
      <c r="BE9" s="698"/>
      <c r="BF9" s="698"/>
      <c r="BG9" s="698"/>
      <c r="BH9" s="698"/>
      <c r="BI9" s="698"/>
      <c r="BJ9" s="770"/>
      <c r="BK9" s="698"/>
      <c r="BL9" s="698"/>
      <c r="BM9" s="698"/>
      <c r="BN9" s="698"/>
      <c r="BO9" s="698"/>
      <c r="BP9" s="698"/>
      <c r="BQ9" s="698"/>
      <c r="BR9" s="698"/>
      <c r="BS9" s="696"/>
      <c r="BT9" s="696"/>
      <c r="BU9" s="698"/>
      <c r="BV9" s="698"/>
      <c r="BW9" s="698"/>
      <c r="BX9" s="696"/>
      <c r="BY9" s="698"/>
      <c r="BZ9" s="696"/>
      <c r="CA9" s="698"/>
      <c r="CB9" s="696"/>
      <c r="CC9" s="698"/>
      <c r="CD9" s="698"/>
      <c r="CE9" s="698"/>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row>
    <row r="10" spans="1:112" ht="17.25" customHeight="1">
      <c r="A10" s="11"/>
      <c r="B10" s="696"/>
      <c r="C10" s="696"/>
      <c r="D10" s="723"/>
      <c r="E10" s="724"/>
      <c r="F10" s="724"/>
      <c r="G10" s="742"/>
      <c r="H10" s="723"/>
      <c r="I10" s="724"/>
      <c r="J10" s="724"/>
      <c r="K10" s="724"/>
      <c r="L10" s="724"/>
      <c r="M10" s="724"/>
      <c r="N10" s="723"/>
      <c r="O10" s="724"/>
      <c r="P10" s="724"/>
      <c r="Q10" s="724"/>
      <c r="R10" s="724"/>
      <c r="S10" s="742"/>
      <c r="T10" s="723"/>
      <c r="U10" s="724"/>
      <c r="V10" s="724"/>
      <c r="W10" s="724"/>
      <c r="X10" s="724"/>
      <c r="Y10" s="477"/>
      <c r="Z10" s="724"/>
      <c r="AA10" s="724"/>
      <c r="AB10" s="724"/>
      <c r="AC10" s="724"/>
      <c r="AD10" s="724"/>
      <c r="AE10" s="774" t="s">
        <v>431</v>
      </c>
      <c r="AF10" s="775"/>
      <c r="AG10" s="215" t="s">
        <v>93</v>
      </c>
      <c r="AH10" s="742"/>
      <c r="AI10" s="774" t="s">
        <v>431</v>
      </c>
      <c r="AJ10" s="775"/>
      <c r="AK10" s="215" t="s">
        <v>93</v>
      </c>
      <c r="AL10" s="724"/>
      <c r="AM10" s="724"/>
      <c r="AN10" s="724"/>
      <c r="AO10" s="724"/>
      <c r="AP10" s="724"/>
      <c r="AQ10" s="742"/>
      <c r="AR10" s="760"/>
      <c r="AS10" s="760"/>
      <c r="AT10" s="698"/>
      <c r="AU10" s="698"/>
      <c r="AV10" s="698"/>
      <c r="AW10" s="698"/>
      <c r="AX10" s="698"/>
      <c r="AY10" s="698"/>
      <c r="AZ10" s="698"/>
      <c r="BA10" s="698"/>
      <c r="BB10" s="698"/>
      <c r="BC10" s="771"/>
      <c r="BD10" s="698"/>
      <c r="BE10" s="698"/>
      <c r="BF10" s="698"/>
      <c r="BG10" s="698"/>
      <c r="BH10" s="698"/>
      <c r="BI10" s="698"/>
      <c r="BJ10" s="770"/>
      <c r="BK10" s="698"/>
      <c r="BL10" s="698"/>
      <c r="BM10" s="698"/>
      <c r="BN10" s="698"/>
      <c r="BO10" s="698"/>
      <c r="BP10" s="698"/>
      <c r="BQ10" s="698"/>
      <c r="BR10" s="698"/>
      <c r="BS10" s="696"/>
      <c r="BT10" s="696"/>
      <c r="BU10" s="698"/>
      <c r="BV10" s="698"/>
      <c r="BW10" s="698"/>
      <c r="BX10" s="696"/>
      <c r="BY10" s="698"/>
      <c r="BZ10" s="696"/>
      <c r="CA10" s="698"/>
      <c r="CB10" s="696"/>
      <c r="CC10" s="698"/>
      <c r="CD10" s="698"/>
      <c r="CE10" s="698"/>
      <c r="CF10" s="11"/>
      <c r="CG10" s="11"/>
      <c r="CH10" s="11" t="s">
        <v>432</v>
      </c>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row>
    <row r="11" spans="1:112" ht="17.25" hidden="1" customHeight="1">
      <c r="A11" s="11"/>
      <c r="B11" s="481" t="s">
        <v>211</v>
      </c>
      <c r="C11" s="481"/>
      <c r="D11" s="483" t="s">
        <v>212</v>
      </c>
      <c r="E11" s="483" t="s">
        <v>213</v>
      </c>
      <c r="F11" s="483"/>
      <c r="G11" s="483"/>
      <c r="H11" s="483" t="s">
        <v>214</v>
      </c>
      <c r="I11" s="483" t="s">
        <v>433</v>
      </c>
      <c r="J11" s="483" t="s">
        <v>216</v>
      </c>
      <c r="K11" s="483" t="s">
        <v>217</v>
      </c>
      <c r="L11" s="483" t="s">
        <v>357</v>
      </c>
      <c r="M11" s="483" t="s">
        <v>358</v>
      </c>
      <c r="N11" s="483" t="s">
        <v>434</v>
      </c>
      <c r="O11" s="483" t="s">
        <v>435</v>
      </c>
      <c r="P11" s="483" t="s">
        <v>436</v>
      </c>
      <c r="Q11" s="483" t="s">
        <v>437</v>
      </c>
      <c r="R11" s="483" t="s">
        <v>438</v>
      </c>
      <c r="S11" s="483" t="s">
        <v>439</v>
      </c>
      <c r="T11" s="483" t="s">
        <v>42</v>
      </c>
      <c r="U11" s="483" t="s">
        <v>223</v>
      </c>
      <c r="V11" s="483" t="s">
        <v>440</v>
      </c>
      <c r="W11" s="483" t="s">
        <v>137</v>
      </c>
      <c r="X11" s="483" t="s">
        <v>220</v>
      </c>
      <c r="Y11" s="483" t="s">
        <v>221</v>
      </c>
      <c r="Z11" s="483" t="s">
        <v>222</v>
      </c>
      <c r="AA11" s="483" t="s">
        <v>224</v>
      </c>
      <c r="AB11" s="483" t="s">
        <v>360</v>
      </c>
      <c r="AC11" s="483"/>
      <c r="AD11" s="483"/>
      <c r="AE11" s="492"/>
      <c r="AF11" s="492"/>
      <c r="AG11" s="483" t="s">
        <v>233</v>
      </c>
      <c r="AH11" s="483" t="s">
        <v>225</v>
      </c>
      <c r="AI11" s="492"/>
      <c r="AJ11" s="492"/>
      <c r="AK11" s="483" t="s">
        <v>441</v>
      </c>
      <c r="AL11" s="483" t="s">
        <v>442</v>
      </c>
      <c r="AM11" s="483" t="s">
        <v>443</v>
      </c>
      <c r="AN11" s="483" t="s">
        <v>444</v>
      </c>
      <c r="AO11" s="483" t="s">
        <v>445</v>
      </c>
      <c r="AP11" s="483" t="s">
        <v>446</v>
      </c>
      <c r="AQ11" s="483" t="s">
        <v>447</v>
      </c>
      <c r="AR11" s="483"/>
      <c r="AS11" s="483"/>
      <c r="AT11" s="481"/>
      <c r="AU11" s="481"/>
      <c r="AV11" s="481"/>
      <c r="AW11" s="481"/>
      <c r="AX11" s="481"/>
      <c r="AY11" s="481"/>
      <c r="AZ11" s="481"/>
      <c r="BA11" s="481"/>
      <c r="BB11" s="481"/>
      <c r="BC11" s="481"/>
      <c r="BD11" s="481"/>
      <c r="BE11" s="481"/>
      <c r="BF11" s="481"/>
      <c r="BG11" s="481"/>
      <c r="BH11" s="481"/>
      <c r="BI11" s="481"/>
      <c r="BJ11" s="481"/>
      <c r="BK11" s="481"/>
      <c r="BL11" s="481"/>
      <c r="BM11" s="481"/>
      <c r="BN11" s="481"/>
      <c r="BO11" s="481"/>
      <c r="BP11" s="481"/>
      <c r="BQ11" s="481"/>
      <c r="BR11" s="481"/>
      <c r="BS11" s="481" t="s">
        <v>226</v>
      </c>
      <c r="BT11" s="481" t="s">
        <v>227</v>
      </c>
      <c r="BU11" s="481"/>
      <c r="BV11" s="481"/>
      <c r="BW11" s="481"/>
      <c r="BX11" s="481" t="s">
        <v>228</v>
      </c>
      <c r="BY11" s="481" t="s">
        <v>230</v>
      </c>
      <c r="BZ11" s="481" t="s">
        <v>229</v>
      </c>
      <c r="CA11" s="481"/>
      <c r="CB11" s="481" t="s">
        <v>231</v>
      </c>
      <c r="CC11" s="481"/>
      <c r="CD11" s="481"/>
      <c r="CE11" s="481" t="s">
        <v>232</v>
      </c>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row>
    <row r="12" spans="1:112" ht="19.5" customHeight="1">
      <c r="A12" s="11"/>
      <c r="B12" s="17">
        <v>1</v>
      </c>
      <c r="C12" s="452" t="s">
        <v>19</v>
      </c>
      <c r="D12" s="31"/>
      <c r="E12" s="31"/>
      <c r="F12" s="31"/>
      <c r="G12" s="149" t="str">
        <f>IFERROR(VLOOKUP(F12, 'Lookup Tables'!$B$5:$C$2226, 2, FALSE), "")</f>
        <v/>
      </c>
      <c r="H12" s="32"/>
      <c r="I12" s="32"/>
      <c r="J12" s="122"/>
      <c r="K12" s="122"/>
      <c r="L12" s="122"/>
      <c r="M12" s="122"/>
      <c r="N12" s="122"/>
      <c r="O12" s="289"/>
      <c r="P12" s="289"/>
      <c r="Q12" s="290"/>
      <c r="R12" s="290"/>
      <c r="S12" s="290"/>
      <c r="T12" s="32"/>
      <c r="U12" s="32"/>
      <c r="V12" s="110"/>
      <c r="W12" s="32"/>
      <c r="X12" s="32"/>
      <c r="Y12" s="32"/>
      <c r="Z12" s="31"/>
      <c r="AA12" s="368"/>
      <c r="AB12" s="393"/>
      <c r="AC12" s="155" t="str">
        <f>IF(AA12="", "", AA12/12000)</f>
        <v/>
      </c>
      <c r="AD12" s="155" t="str">
        <f>IF(AB12="", "", AB12/12000)</f>
        <v/>
      </c>
      <c r="AE12" s="226" t="str">
        <f t="shared" ref="AE12:AE19" si="0">IF(D12="", "", BM12)</f>
        <v/>
      </c>
      <c r="AF12" s="235" t="str">
        <f t="shared" ref="AF12:AF19" si="1">IF(D12="", "", "EER")</f>
        <v/>
      </c>
      <c r="AG12" s="122"/>
      <c r="AH12" s="122"/>
      <c r="AI12" s="226" t="str">
        <f t="shared" ref="AI12:AI19" si="2">IF(D12="", "", BN12)</f>
        <v/>
      </c>
      <c r="AJ12" s="235" t="str">
        <f t="shared" ref="AJ12:AJ19" si="3">IF(D12="", "", "COP")</f>
        <v/>
      </c>
      <c r="AK12" s="122"/>
      <c r="AL12" s="122"/>
      <c r="AM12" s="289"/>
      <c r="AN12" s="289"/>
      <c r="AO12" s="290"/>
      <c r="AP12" s="290"/>
      <c r="AQ12" s="290"/>
      <c r="AR12" s="157">
        <f>IF(BH12="Yes", 0, IF(ISNUMBER(N12), N12, AL12))</f>
        <v>0</v>
      </c>
      <c r="AS12" s="157">
        <f>IF(Q12="", 0.75, Q12)</f>
        <v>0.75</v>
      </c>
      <c r="AT12" s="236" t="str">
        <f t="array" ref="AT12">IFERROR(IF(ISNUMBER(R12), R12, IF(OR(N12="", O12="", P12="",R12=""), INDEX($C$62:$G$133, MATCH(1, (AL12=$C$62:$C$133)*(AM12=$E$62:$E$133)*(AN12=$F$62:$F$133), 0), 5))),"")</f>
        <v/>
      </c>
      <c r="AU12" s="157">
        <f>IFERROR(IF(S12="", 1,1),  "")</f>
        <v>1</v>
      </c>
      <c r="AV12" s="157">
        <f>IF(AO12="", 0.75, AO12)</f>
        <v>0.75</v>
      </c>
      <c r="AW12" s="236" t="str">
        <f t="array" ref="AW12">IFERROR(IF(AP12="", INDEX($C$62:$G$133, MATCH(1, (AL12=$C$62:$C$133)*(AM12=$E$62:$E$133)*(AN12=$F$62:$F$133), 0), 5), AP12), "")</f>
        <v/>
      </c>
      <c r="AX12" s="157">
        <f>IFERROR(IF(AQ12="", 1, 1), "")</f>
        <v>1</v>
      </c>
      <c r="AY12" s="155" t="e">
        <f>VLOOKUP(E12, 'Lookup Tables'!$G$6:$P$19, MATCH(G12, 'Lookup Tables'!$H$5:$P$5,1)+1, FALSE)</f>
        <v>#N/A</v>
      </c>
      <c r="AZ12" s="155" t="str">
        <f>IFERROR(VLOOKUP(E12, 'Lookup Tables'!$R$6:$AA$19, MATCH(G12, 'Lookup Tables'!$S$5:$AA$5,1)+1, FALSE), "")</f>
        <v/>
      </c>
      <c r="BA12" s="155" t="e">
        <f>AZ12+AY12</f>
        <v>#VALUE!</v>
      </c>
      <c r="BB12" s="157" t="e">
        <f>VLOOKUP(E12, 'Lookup Tables'!$AC$6:$AL$19, MATCH(G12, 'Lookup Tables'!$AD$5:$AL$5,1)+1, FALSE)</f>
        <v>#N/A</v>
      </c>
      <c r="BC12" s="468">
        <v>0</v>
      </c>
      <c r="BD12" s="158">
        <f t="shared" ref="BD12:BD19" si="4">IF(AND(AA12&gt;=65000, AA12&lt;135000), $F$47, $F$46)</f>
        <v>12.169230769230769</v>
      </c>
      <c r="BE12" s="158" t="str">
        <f t="shared" ref="BE12:BE19" si="5">IF(AA12="", "", IF(AND(AA12&gt;=65000, AA12&lt;135000), $G$47, $G$46))</f>
        <v/>
      </c>
      <c r="BF12" s="158" t="str">
        <f t="shared" ref="BF12:BF19" si="6">IF(AA12="", "", IF(AND(AA12&gt;=65000, AA12&lt;135000), $H$47, $H$46))</f>
        <v/>
      </c>
      <c r="BG12" s="158" t="str">
        <f t="shared" ref="BG12:BG19" si="7">IF(AA12="", "", IF(AND(AA12&gt;=65000, AA12&lt;135000), $I$47, $I$46))</f>
        <v/>
      </c>
      <c r="BH12" s="158" t="str">
        <f t="shared" ref="BH12:BH19" si="8">IFERROR(IF(D12="New Construction", "Yes", IF(H12&gt;$C$59, "Yes", IF(VLOOKUP(I12, $I$51:$J$58, 2, FALSE)=1, "Yes", "No"))), "")</f>
        <v/>
      </c>
      <c r="BI12" s="158" t="str">
        <f t="shared" ref="BI12:BI19" si="9">IFERROR(IF(BH12="Yes", BD12,(INDEX($E$30:$H$41,IF($AA12&gt;=17000, MATCH($V12,$C$30:$C$41,0)+1,MATCH($V12,$C$30:$C$41,0)),1))),"")</f>
        <v/>
      </c>
      <c r="BJ12" s="158"/>
      <c r="BK12" s="158" t="str">
        <f>IFERROR(IF(BH12="Yes", BF12, BL12),"")</f>
        <v/>
      </c>
      <c r="BL12" s="158" t="str">
        <f t="shared" ref="BL12:BL19" si="10">IFERROR(IF(BH12="Yes", BG12,(INDEX($E$30:$H$41,IF($AA12&gt;=17000, MATCH($V12,$C$30:$C$41,0)+1,MATCH($V12,$C$30:$C$41,0)),2))),"")</f>
        <v/>
      </c>
      <c r="BM12" s="158" t="str">
        <f t="shared" ref="BM12:BM19" si="11">IFERROR(INDEX($E$30:$H$41,IF($AA12&gt;=17000, MATCH($V12,$C$30:$C$41,0)+1,MATCH($V12,$C$30:$C$41,0)),3),"")</f>
        <v/>
      </c>
      <c r="BN12" s="158" t="str">
        <f t="shared" ref="BN12:BN19" si="12">IFERROR(INDEX($E$30:$H$41,IF($AA12&gt;=17000, MATCH($V12,$C$30:$C$41,0)+1,MATCH($V12,$C$30:$C$41,0)),4),"")</f>
        <v/>
      </c>
      <c r="BO12" s="157" t="e">
        <f>(((AA12/1000)*(1/BI12)*BB12)-((AA12/1000)*(1/AG12)*BB12))*T12</f>
        <v>#VALUE!</v>
      </c>
      <c r="BP12" s="157" t="e">
        <f>IF(BH12="Yes", -(AL12*AV12*0.746*(1/AW12)*(1/AX12)*BB12)*T12, ((AR12*AS12*0.746*(1/AT12)*(1/AU12)*BB12)-(AL12*AV12*0.746*(1/AW12)*(1/AX12)*BB12))*T12)</f>
        <v>#VALUE!</v>
      </c>
      <c r="BQ12" s="157" t="e">
        <f t="shared" ref="BQ12:BQ19" si="13">(((AA12/1000)*(1/BI12))-((AA12/1000)*(1/AG12)))*T12</f>
        <v>#VALUE!</v>
      </c>
      <c r="BR12" s="157" t="e">
        <f t="shared" ref="BR12:BR19" si="14">IF(BH12="Yes", -(AL12*AV12*0.746*(1/AW12)*(1/AX12))*T12, ((AR12*AS12*0.746*(1/AT12)*(1/AU12))-(AL12*AV12*0.746*(1/AW12)*(1/AX12)))*T12)</f>
        <v>#VALUE!</v>
      </c>
      <c r="BS12" s="499" t="str">
        <f t="shared" ref="BS12:BS19" si="15">IFERROR(ROUND(BQ12+BR12,6), "")</f>
        <v/>
      </c>
      <c r="BT12" s="502" t="str">
        <f t="shared" ref="BT12:BT19" si="16">IFERROR(ROUND(BO12+BP12,6), "")</f>
        <v/>
      </c>
      <c r="BU12" s="159" t="e">
        <f>(((AA12/1000)*(1/BI12)*AY12)-((AA12/1000)*(1/AG12)*AY12))*T12</f>
        <v>#VALUE!</v>
      </c>
      <c r="BV12" s="159" t="e">
        <f>(((AB12/1000)*(1/IF(AB12&lt;65000,BK12,BL12))*(1/(IF(AB12&lt;65000,1,3.412))*AZ12)-((AB12/1000)*(1/AK12)*(1/3.412)*AZ12)))*T12</f>
        <v>#VALUE!</v>
      </c>
      <c r="BW12" s="159" t="e">
        <f>IF(BH12="Yes", -(AL12*AV12*0.746*(1/AW12)*(1/AX12)*BA12)*T12, ((N12*AS12*0.746*(1/AT12)*(1/AU12)*BA12)-(AL12*AV12*0.746*(1/AW12)*(1/AX12)*BA12))*T12)</f>
        <v>#VALUE!</v>
      </c>
      <c r="BX12" s="500" t="str">
        <f t="shared" ref="BX12:BX19" si="17">IFERROR(ROUND(BU12+BV12+BW12,4), "")</f>
        <v/>
      </c>
      <c r="BY12" s="500">
        <f t="shared" ref="BY12:BY19" si="18">IFERROR(U12,"")</f>
        <v>0</v>
      </c>
      <c r="BZ12" s="160" t="str">
        <f>IFERROR(ROUND(IF(OR(CB12="No",T12="",F12="",AA12=""),"", MIN(BY12,T12*(AA12/12000)*$I$30)),2),"")</f>
        <v/>
      </c>
      <c r="CA12" s="237" t="str">
        <f t="shared" ref="CA12:CA19" si="19">IF(AND(ISTEXT(V12), AA12&lt;17000), $D$30,IF(AND(ISTEXT(V12), AA12&gt;=17000), $D$31, "Does Not Qualify"))</f>
        <v>Does Not Qualify</v>
      </c>
      <c r="CB12" s="161" t="str">
        <f t="shared" ref="CB12:CB19" si="20">IF(OR(D12="", E12="", F12="", AA12=""), "", IF(OR(AG12&lt;BM12, AK12&lt;BN12), "No", "Yes"))</f>
        <v/>
      </c>
      <c r="CC12" s="132" t="str">
        <f t="array" ref="CC12">IFERROR(INDEX($C$30:$M$41, MATCH(1, (V12=$C$30:$C$41)*(CA12=$D$30:$D$41), 0), 10), "")</f>
        <v/>
      </c>
      <c r="CD12" s="132" t="str">
        <f t="array" ref="CD12">IFERROR(INDEX($C$30:$M$41, MATCH(1, (V12=$C$30:$C$41)*(CA12=$D$30:$D$41), 0), 11), "")</f>
        <v/>
      </c>
      <c r="CE12" s="131" t="str">
        <f t="array" ref="CE12">IFERROR(INDEX($C$30:$M$41, MATCH(1, (V12=$C$30:$C$41)*(CA12=$D$30:$D$41), 0), 9), "")</f>
        <v/>
      </c>
      <c r="CF12" s="11"/>
      <c r="CG12" s="11"/>
      <c r="CH12" s="11" t="s">
        <v>448</v>
      </c>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row>
    <row r="13" spans="1:112" ht="19.5" customHeight="1">
      <c r="A13" s="11"/>
      <c r="B13" s="17">
        <v>2</v>
      </c>
      <c r="C13" s="452" t="s">
        <v>19</v>
      </c>
      <c r="D13" s="31"/>
      <c r="E13" s="31"/>
      <c r="F13" s="31"/>
      <c r="G13" s="149" t="str">
        <f>IFERROR(VLOOKUP(F13, 'Lookup Tables'!$B$5:$C$2226, 2, FALSE), "")</f>
        <v/>
      </c>
      <c r="H13" s="32"/>
      <c r="I13" s="32"/>
      <c r="J13" s="122"/>
      <c r="K13" s="122"/>
      <c r="L13" s="122"/>
      <c r="M13" s="122"/>
      <c r="N13" s="122"/>
      <c r="O13" s="289"/>
      <c r="P13" s="289"/>
      <c r="Q13" s="290"/>
      <c r="R13" s="290"/>
      <c r="S13" s="290"/>
      <c r="T13" s="32"/>
      <c r="U13" s="32"/>
      <c r="V13" s="110"/>
      <c r="W13" s="32"/>
      <c r="X13" s="32"/>
      <c r="Y13" s="32"/>
      <c r="Z13" s="31"/>
      <c r="AA13" s="368"/>
      <c r="AB13" s="393"/>
      <c r="AC13" s="155" t="str">
        <f t="shared" ref="AC13:AC19" si="21">IF(AA13="", "", AA13/12000)</f>
        <v/>
      </c>
      <c r="AD13" s="155" t="str">
        <f t="shared" ref="AD13:AD19" si="22">IF(AB13="", "", AB13/12000)</f>
        <v/>
      </c>
      <c r="AE13" s="226" t="str">
        <f t="shared" si="0"/>
        <v/>
      </c>
      <c r="AF13" s="235" t="str">
        <f t="shared" si="1"/>
        <v/>
      </c>
      <c r="AG13" s="122"/>
      <c r="AH13" s="122"/>
      <c r="AI13" s="226" t="str">
        <f t="shared" si="2"/>
        <v/>
      </c>
      <c r="AJ13" s="235" t="str">
        <f t="shared" si="3"/>
        <v/>
      </c>
      <c r="AK13" s="122"/>
      <c r="AL13" s="122"/>
      <c r="AM13" s="289"/>
      <c r="AN13" s="289"/>
      <c r="AO13" s="290"/>
      <c r="AP13" s="290"/>
      <c r="AQ13" s="290"/>
      <c r="AR13" s="157">
        <f t="shared" ref="AR13:AR19" si="23">IF(BH13="Yes", 0, IF(ISNUMBER(N13), N13, AL13))</f>
        <v>0</v>
      </c>
      <c r="AS13" s="157">
        <f t="shared" ref="AS13:AS19" si="24">IF(Q13="", 0.75, Q13)</f>
        <v>0.75</v>
      </c>
      <c r="AT13" s="236" t="str">
        <f t="array" ref="AT13">IFERROR(IF(ISNUMBER(R13), R13, IF(OR(N13="", O13="", P13="",R13=""), INDEX($C$62:$G$133, MATCH(1, (AL13=$C$62:$C$133)*(AM13=$E$62:$E$133)*(AN13=$F$62:$F$133), 0), 5))),"")</f>
        <v/>
      </c>
      <c r="AU13" s="157">
        <f t="shared" ref="AU13:AU19" si="25">IFERROR(IF(S13="", 1,1),  "")</f>
        <v>1</v>
      </c>
      <c r="AV13" s="157">
        <f t="shared" ref="AV13:AV19" si="26">IF(AO13="", 0.75, AO13)</f>
        <v>0.75</v>
      </c>
      <c r="AW13" s="236" t="str">
        <f t="array" ref="AW13">IFERROR(IF(AP13="", INDEX($C$62:$G$133, MATCH(1, (AL13=$C$62:$C$133)*(AM13=$E$62:$E$133)*(AN13=$F$62:$F$133), 0), 5), AP13), "")</f>
        <v/>
      </c>
      <c r="AX13" s="157">
        <f t="shared" ref="AX13:AX19" si="27">IFERROR(IF(AQ13="", 1, 1), "")</f>
        <v>1</v>
      </c>
      <c r="AY13" s="155" t="e">
        <f>VLOOKUP(E13, 'Lookup Tables'!$G$6:$P$19, MATCH(G13, 'Lookup Tables'!$H$5:$P$5,1)+1, FALSE)</f>
        <v>#N/A</v>
      </c>
      <c r="AZ13" s="155" t="str">
        <f>IFERROR(VLOOKUP(E13, 'Lookup Tables'!$R$6:$AA$19, MATCH(G13, 'Lookup Tables'!$S$5:$AA$5,1)+1, FALSE), "")</f>
        <v/>
      </c>
      <c r="BA13" s="155" t="e">
        <f t="shared" ref="BA13:BA19" si="28">AZ13+AY13</f>
        <v>#VALUE!</v>
      </c>
      <c r="BB13" s="157" t="e">
        <f>VLOOKUP(E13, 'Lookup Tables'!$AC$6:$AL$19, MATCH(G13, 'Lookup Tables'!$AD$5:$AL$5,1)+1, FALSE)</f>
        <v>#N/A</v>
      </c>
      <c r="BC13" s="468">
        <v>1</v>
      </c>
      <c r="BD13" s="158">
        <f t="shared" si="4"/>
        <v>12.169230769230769</v>
      </c>
      <c r="BE13" s="158" t="str">
        <f t="shared" si="5"/>
        <v/>
      </c>
      <c r="BF13" s="158" t="str">
        <f t="shared" si="6"/>
        <v/>
      </c>
      <c r="BG13" s="158" t="str">
        <f t="shared" si="7"/>
        <v/>
      </c>
      <c r="BH13" s="158" t="str">
        <f t="shared" si="8"/>
        <v/>
      </c>
      <c r="BI13" s="158" t="str">
        <f t="shared" si="9"/>
        <v/>
      </c>
      <c r="BJ13" s="158"/>
      <c r="BK13" s="158" t="str">
        <f t="shared" ref="BK13:BK19" si="29">IFERROR(IF(BH13="Yes", BF13, BL13),"")</f>
        <v/>
      </c>
      <c r="BL13" s="158" t="str">
        <f t="shared" si="10"/>
        <v/>
      </c>
      <c r="BM13" s="158" t="str">
        <f t="shared" si="11"/>
        <v/>
      </c>
      <c r="BN13" s="158" t="str">
        <f t="shared" si="12"/>
        <v/>
      </c>
      <c r="BO13" s="157" t="e">
        <f t="shared" ref="BO13:BO19" si="30">(((AA13/1000)*(1/BI13)*BB13)-((AA13/1000)*(1/AG13)*BB13))*T13</f>
        <v>#VALUE!</v>
      </c>
      <c r="BP13" s="157" t="e">
        <f t="shared" ref="BP13:BP19" si="31">IF(BH13="Yes", -(AL13*AV13*0.746*(1/AW13)*(1/AX13)*BB13)*T13, ((AR13*AS13*0.746*(1/AT13)*(1/AU13)*BB13)-(AL13*AV13*0.746*(1/AW13)*(1/AX13)*BB13))*T13)</f>
        <v>#VALUE!</v>
      </c>
      <c r="BQ13" s="157" t="e">
        <f t="shared" si="13"/>
        <v>#VALUE!</v>
      </c>
      <c r="BR13" s="157" t="e">
        <f t="shared" si="14"/>
        <v>#VALUE!</v>
      </c>
      <c r="BS13" s="499" t="str">
        <f t="shared" si="15"/>
        <v/>
      </c>
      <c r="BT13" s="502" t="str">
        <f t="shared" si="16"/>
        <v/>
      </c>
      <c r="BU13" s="159" t="e">
        <f t="shared" ref="BU13:BU19" si="32">(((AA13/1000)*(1/BI13)*AY13)-((AA13/1000)*(1/AG13)*AY13))*T13</f>
        <v>#VALUE!</v>
      </c>
      <c r="BV13" s="159" t="e">
        <f t="shared" ref="BV13:BV19" si="33">(((AB13/1000)*(1/IF(AB13&lt;65000,BK13,BL13))*(1/(IF(AB13&lt;65000,1,3.412))*AZ13)-((AB13/1000)*(1/AK13)*(1/3.412)*AZ13)))*T13</f>
        <v>#VALUE!</v>
      </c>
      <c r="BW13" s="159" t="e">
        <f t="shared" ref="BW13:BW19" si="34">IF(BH13="Yes", -(AL13*AV13*0.746*(1/AW13)*(1/AX13)*BA13)*T13, ((N13*AS13*0.746*(1/AT13)*(1/AU13)*BA13)-(AL13*AV13*0.746*(1/AW13)*(1/AX13)*BA13))*T13)</f>
        <v>#VALUE!</v>
      </c>
      <c r="BX13" s="500" t="str">
        <f t="shared" si="17"/>
        <v/>
      </c>
      <c r="BY13" s="500">
        <f t="shared" si="18"/>
        <v>0</v>
      </c>
      <c r="BZ13" s="160" t="str">
        <f t="shared" ref="BZ13:BZ19" si="35">IFERROR(ROUND(IF(OR(CB13="No",T13="",F13="",AA13=""),"", MIN(BY13,T13*(AA13/12000)*$I$30)),2),"")</f>
        <v/>
      </c>
      <c r="CA13" s="237" t="str">
        <f t="shared" si="19"/>
        <v>Does Not Qualify</v>
      </c>
      <c r="CB13" s="161" t="str">
        <f t="shared" si="20"/>
        <v/>
      </c>
      <c r="CC13" s="132" t="str">
        <f t="array" ref="CC13">IFERROR(INDEX($C$30:$M$41, MATCH(1, (V13=$C$30:$C$41)*(CA13=$D$30:$D$41), 0), 10), "")</f>
        <v/>
      </c>
      <c r="CD13" s="132" t="str">
        <f t="array" ref="CD13">IFERROR(INDEX($C$30:$M$41, MATCH(1, (V13=$C$30:$C$41)*(CA13=$D$30:$D$41), 0), 11), "")</f>
        <v/>
      </c>
      <c r="CE13" s="131" t="str">
        <f t="array" ref="CE13">IFERROR(INDEX($C$30:$M$41, MATCH(1, (V13=$C$30:$C$41)*(CA13=$D$30:$D$41), 0), 9), "")</f>
        <v/>
      </c>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row>
    <row r="14" spans="1:112" ht="19.5" customHeight="1">
      <c r="A14" s="11"/>
      <c r="B14" s="17">
        <v>3</v>
      </c>
      <c r="C14" s="452" t="s">
        <v>19</v>
      </c>
      <c r="D14" s="31"/>
      <c r="E14" s="31"/>
      <c r="F14" s="31"/>
      <c r="G14" s="149" t="str">
        <f>IFERROR(VLOOKUP(F14, 'Lookup Tables'!$B$5:$C$2226, 2, FALSE), "")</f>
        <v/>
      </c>
      <c r="H14" s="32"/>
      <c r="I14" s="32"/>
      <c r="J14" s="122"/>
      <c r="K14" s="122"/>
      <c r="L14" s="122"/>
      <c r="M14" s="122"/>
      <c r="N14" s="122"/>
      <c r="O14" s="289"/>
      <c r="P14" s="289"/>
      <c r="Q14" s="290"/>
      <c r="R14" s="290"/>
      <c r="S14" s="290"/>
      <c r="T14" s="32"/>
      <c r="U14" s="32"/>
      <c r="V14" s="110"/>
      <c r="W14" s="32"/>
      <c r="X14" s="32"/>
      <c r="Y14" s="32"/>
      <c r="Z14" s="31"/>
      <c r="AA14" s="368"/>
      <c r="AB14" s="393"/>
      <c r="AC14" s="155" t="str">
        <f t="shared" si="21"/>
        <v/>
      </c>
      <c r="AD14" s="155" t="str">
        <f t="shared" si="22"/>
        <v/>
      </c>
      <c r="AE14" s="226" t="str">
        <f t="shared" si="0"/>
        <v/>
      </c>
      <c r="AF14" s="235" t="str">
        <f t="shared" si="1"/>
        <v/>
      </c>
      <c r="AG14" s="122"/>
      <c r="AH14" s="122"/>
      <c r="AI14" s="226" t="str">
        <f t="shared" si="2"/>
        <v/>
      </c>
      <c r="AJ14" s="235" t="str">
        <f t="shared" si="3"/>
        <v/>
      </c>
      <c r="AK14" s="122"/>
      <c r="AL14" s="122"/>
      <c r="AM14" s="289"/>
      <c r="AN14" s="289"/>
      <c r="AO14" s="290"/>
      <c r="AP14" s="290"/>
      <c r="AQ14" s="290"/>
      <c r="AR14" s="157">
        <f t="shared" si="23"/>
        <v>0</v>
      </c>
      <c r="AS14" s="157">
        <f t="shared" si="24"/>
        <v>0.75</v>
      </c>
      <c r="AT14" s="236" t="str">
        <f t="array" ref="AT14">IFERROR(IF(ISNUMBER(R14), R14, IF(OR(N14="", O14="", P14="",R14=""), INDEX($C$62:$G$133, MATCH(1, (AL14=$C$62:$C$133)*(AM14=$E$62:$E$133)*(AN14=$F$62:$F$133), 0), 5))),"")</f>
        <v/>
      </c>
      <c r="AU14" s="157">
        <f t="shared" si="25"/>
        <v>1</v>
      </c>
      <c r="AV14" s="157">
        <f t="shared" si="26"/>
        <v>0.75</v>
      </c>
      <c r="AW14" s="236" t="str">
        <f t="array" ref="AW14">IFERROR(IF(AP14="", INDEX($C$62:$G$133, MATCH(1, (AL14=$C$62:$C$133)*(AM14=$E$62:$E$133)*(AN14=$F$62:$F$133), 0), 5), AP14), "")</f>
        <v/>
      </c>
      <c r="AX14" s="157">
        <f t="shared" si="27"/>
        <v>1</v>
      </c>
      <c r="AY14" s="155" t="e">
        <f>VLOOKUP(E14, 'Lookup Tables'!$G$6:$P$19, MATCH(G14, 'Lookup Tables'!$H$5:$P$5,1)+1, FALSE)</f>
        <v>#N/A</v>
      </c>
      <c r="AZ14" s="155" t="str">
        <f>IFERROR(VLOOKUP(E14, 'Lookup Tables'!$R$6:$AA$19, MATCH(G14, 'Lookup Tables'!$S$5:$AA$5,1)+1, FALSE), "")</f>
        <v/>
      </c>
      <c r="BA14" s="155" t="e">
        <f t="shared" si="28"/>
        <v>#VALUE!</v>
      </c>
      <c r="BB14" s="157" t="e">
        <f>VLOOKUP(E14, 'Lookup Tables'!$AC$6:$AL$19, MATCH(G14, 'Lookup Tables'!$AD$5:$AL$5,1)+1, FALSE)</f>
        <v>#N/A</v>
      </c>
      <c r="BC14" s="468">
        <v>2</v>
      </c>
      <c r="BD14" s="158">
        <f t="shared" si="4"/>
        <v>12.169230769230769</v>
      </c>
      <c r="BE14" s="158" t="str">
        <f t="shared" si="5"/>
        <v/>
      </c>
      <c r="BF14" s="158" t="str">
        <f t="shared" si="6"/>
        <v/>
      </c>
      <c r="BG14" s="158" t="str">
        <f t="shared" si="7"/>
        <v/>
      </c>
      <c r="BH14" s="158" t="str">
        <f t="shared" si="8"/>
        <v/>
      </c>
      <c r="BI14" s="158" t="str">
        <f t="shared" si="9"/>
        <v/>
      </c>
      <c r="BJ14" s="158"/>
      <c r="BK14" s="158" t="str">
        <f t="shared" si="29"/>
        <v/>
      </c>
      <c r="BL14" s="158" t="str">
        <f t="shared" si="10"/>
        <v/>
      </c>
      <c r="BM14" s="158" t="str">
        <f t="shared" si="11"/>
        <v/>
      </c>
      <c r="BN14" s="158" t="str">
        <f t="shared" si="12"/>
        <v/>
      </c>
      <c r="BO14" s="157" t="e">
        <f t="shared" si="30"/>
        <v>#VALUE!</v>
      </c>
      <c r="BP14" s="157" t="e">
        <f t="shared" si="31"/>
        <v>#VALUE!</v>
      </c>
      <c r="BQ14" s="157" t="e">
        <f t="shared" si="13"/>
        <v>#VALUE!</v>
      </c>
      <c r="BR14" s="157" t="e">
        <f t="shared" si="14"/>
        <v>#VALUE!</v>
      </c>
      <c r="BS14" s="499" t="str">
        <f t="shared" si="15"/>
        <v/>
      </c>
      <c r="BT14" s="502" t="str">
        <f t="shared" si="16"/>
        <v/>
      </c>
      <c r="BU14" s="159" t="e">
        <f t="shared" si="32"/>
        <v>#VALUE!</v>
      </c>
      <c r="BV14" s="159" t="e">
        <f t="shared" si="33"/>
        <v>#VALUE!</v>
      </c>
      <c r="BW14" s="159" t="e">
        <f t="shared" si="34"/>
        <v>#VALUE!</v>
      </c>
      <c r="BX14" s="500" t="str">
        <f t="shared" si="17"/>
        <v/>
      </c>
      <c r="BY14" s="500">
        <f t="shared" si="18"/>
        <v>0</v>
      </c>
      <c r="BZ14" s="160" t="str">
        <f t="shared" si="35"/>
        <v/>
      </c>
      <c r="CA14" s="237" t="str">
        <f t="shared" si="19"/>
        <v>Does Not Qualify</v>
      </c>
      <c r="CB14" s="161" t="str">
        <f t="shared" si="20"/>
        <v/>
      </c>
      <c r="CC14" s="132" t="str">
        <f t="array" ref="CC14">IFERROR(INDEX($C$30:$M$41, MATCH(1, (V14=$C$30:$C$41)*(CA14=$D$30:$D$41), 0), 10), "")</f>
        <v/>
      </c>
      <c r="CD14" s="132" t="str">
        <f t="array" ref="CD14">IFERROR(INDEX($C$30:$M$41, MATCH(1, (V14=$C$30:$C$41)*(CA14=$D$30:$D$41), 0), 11), "")</f>
        <v/>
      </c>
      <c r="CE14" s="131" t="str">
        <f t="array" ref="CE14">IFERROR(INDEX($C$30:$M$41, MATCH(1, (V14=$C$30:$C$41)*(CA14=$D$30:$D$41), 0), 9), "")</f>
        <v/>
      </c>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row>
    <row r="15" spans="1:112" ht="19.5" customHeight="1">
      <c r="A15" s="11"/>
      <c r="B15" s="17">
        <v>4</v>
      </c>
      <c r="C15" s="452" t="s">
        <v>19</v>
      </c>
      <c r="D15" s="31"/>
      <c r="E15" s="31"/>
      <c r="F15" s="31"/>
      <c r="G15" s="149" t="str">
        <f>IFERROR(VLOOKUP(F15, 'Lookup Tables'!$B$5:$C$2226, 2, FALSE), "")</f>
        <v/>
      </c>
      <c r="H15" s="32"/>
      <c r="I15" s="32"/>
      <c r="J15" s="122"/>
      <c r="K15" s="122"/>
      <c r="L15" s="122"/>
      <c r="M15" s="122"/>
      <c r="N15" s="122"/>
      <c r="O15" s="289"/>
      <c r="P15" s="289"/>
      <c r="Q15" s="290"/>
      <c r="R15" s="290"/>
      <c r="S15" s="290"/>
      <c r="T15" s="32"/>
      <c r="U15" s="32"/>
      <c r="V15" s="110"/>
      <c r="W15" s="32"/>
      <c r="X15" s="32"/>
      <c r="Y15" s="32"/>
      <c r="Z15" s="31"/>
      <c r="AA15" s="368"/>
      <c r="AB15" s="393"/>
      <c r="AC15" s="155" t="str">
        <f t="shared" si="21"/>
        <v/>
      </c>
      <c r="AD15" s="155" t="str">
        <f t="shared" si="22"/>
        <v/>
      </c>
      <c r="AE15" s="226" t="str">
        <f t="shared" si="0"/>
        <v/>
      </c>
      <c r="AF15" s="235" t="str">
        <f t="shared" si="1"/>
        <v/>
      </c>
      <c r="AG15" s="122"/>
      <c r="AH15" s="122"/>
      <c r="AI15" s="226" t="str">
        <f t="shared" si="2"/>
        <v/>
      </c>
      <c r="AJ15" s="235" t="str">
        <f t="shared" si="3"/>
        <v/>
      </c>
      <c r="AK15" s="122"/>
      <c r="AL15" s="122"/>
      <c r="AM15" s="289"/>
      <c r="AN15" s="289"/>
      <c r="AO15" s="290"/>
      <c r="AP15" s="290"/>
      <c r="AQ15" s="290"/>
      <c r="AR15" s="157">
        <f t="shared" si="23"/>
        <v>0</v>
      </c>
      <c r="AS15" s="157">
        <f t="shared" si="24"/>
        <v>0.75</v>
      </c>
      <c r="AT15" s="236" t="str">
        <f t="array" ref="AT15">IFERROR(IF(ISNUMBER(R15), R15, IF(OR(N15="", O15="", P15="",R15=""), INDEX($C$62:$G$133, MATCH(1, (AL15=$C$62:$C$133)*(AM15=$E$62:$E$133)*(AN15=$F$62:$F$133), 0), 5))),"")</f>
        <v/>
      </c>
      <c r="AU15" s="157">
        <f t="shared" si="25"/>
        <v>1</v>
      </c>
      <c r="AV15" s="157">
        <f t="shared" si="26"/>
        <v>0.75</v>
      </c>
      <c r="AW15" s="236" t="str">
        <f t="array" ref="AW15">IFERROR(IF(AP15="", INDEX($C$62:$G$133, MATCH(1, (AL15=$C$62:$C$133)*(AM15=$E$62:$E$133)*(AN15=$F$62:$F$133), 0), 5), AP15), "")</f>
        <v/>
      </c>
      <c r="AX15" s="157">
        <f t="shared" si="27"/>
        <v>1</v>
      </c>
      <c r="AY15" s="155" t="e">
        <f>VLOOKUP(E15, 'Lookup Tables'!$G$6:$P$19, MATCH(G15, 'Lookup Tables'!$H$5:$P$5,1)+1, FALSE)</f>
        <v>#N/A</v>
      </c>
      <c r="AZ15" s="155" t="str">
        <f>IFERROR(VLOOKUP(E15, 'Lookup Tables'!$R$6:$AA$19, MATCH(G15, 'Lookup Tables'!$S$5:$AA$5,1)+1, FALSE), "")</f>
        <v/>
      </c>
      <c r="BA15" s="155" t="e">
        <f t="shared" si="28"/>
        <v>#VALUE!</v>
      </c>
      <c r="BB15" s="157" t="e">
        <f>VLOOKUP(E15, 'Lookup Tables'!$AC$6:$AL$19, MATCH(G15, 'Lookup Tables'!$AD$5:$AL$5,1)+1, FALSE)</f>
        <v>#N/A</v>
      </c>
      <c r="BC15" s="468">
        <v>3</v>
      </c>
      <c r="BD15" s="158">
        <f t="shared" si="4"/>
        <v>12.169230769230769</v>
      </c>
      <c r="BE15" s="158" t="str">
        <f t="shared" si="5"/>
        <v/>
      </c>
      <c r="BF15" s="158" t="str">
        <f t="shared" si="6"/>
        <v/>
      </c>
      <c r="BG15" s="158" t="str">
        <f t="shared" si="7"/>
        <v/>
      </c>
      <c r="BH15" s="158" t="str">
        <f t="shared" si="8"/>
        <v/>
      </c>
      <c r="BI15" s="158" t="str">
        <f t="shared" si="9"/>
        <v/>
      </c>
      <c r="BJ15" s="158"/>
      <c r="BK15" s="158" t="str">
        <f t="shared" si="29"/>
        <v/>
      </c>
      <c r="BL15" s="158" t="str">
        <f t="shared" si="10"/>
        <v/>
      </c>
      <c r="BM15" s="158" t="str">
        <f t="shared" si="11"/>
        <v/>
      </c>
      <c r="BN15" s="158" t="str">
        <f t="shared" si="12"/>
        <v/>
      </c>
      <c r="BO15" s="157" t="e">
        <f t="shared" si="30"/>
        <v>#VALUE!</v>
      </c>
      <c r="BP15" s="157" t="e">
        <f t="shared" si="31"/>
        <v>#VALUE!</v>
      </c>
      <c r="BQ15" s="157" t="e">
        <f t="shared" si="13"/>
        <v>#VALUE!</v>
      </c>
      <c r="BR15" s="157" t="e">
        <f t="shared" si="14"/>
        <v>#VALUE!</v>
      </c>
      <c r="BS15" s="499" t="str">
        <f t="shared" si="15"/>
        <v/>
      </c>
      <c r="BT15" s="502" t="str">
        <f t="shared" si="16"/>
        <v/>
      </c>
      <c r="BU15" s="159" t="e">
        <f t="shared" si="32"/>
        <v>#VALUE!</v>
      </c>
      <c r="BV15" s="159" t="e">
        <f t="shared" si="33"/>
        <v>#VALUE!</v>
      </c>
      <c r="BW15" s="159" t="e">
        <f t="shared" si="34"/>
        <v>#VALUE!</v>
      </c>
      <c r="BX15" s="500" t="str">
        <f t="shared" si="17"/>
        <v/>
      </c>
      <c r="BY15" s="500">
        <f t="shared" si="18"/>
        <v>0</v>
      </c>
      <c r="BZ15" s="160" t="str">
        <f t="shared" si="35"/>
        <v/>
      </c>
      <c r="CA15" s="237" t="str">
        <f t="shared" si="19"/>
        <v>Does Not Qualify</v>
      </c>
      <c r="CB15" s="161" t="str">
        <f t="shared" si="20"/>
        <v/>
      </c>
      <c r="CC15" s="132" t="str">
        <f t="array" ref="CC15">IFERROR(INDEX($C$30:$M$41, MATCH(1, (V15=$C$30:$C$41)*(CA15=$D$30:$D$41), 0), 10), "")</f>
        <v/>
      </c>
      <c r="CD15" s="132" t="str">
        <f t="array" ref="CD15">IFERROR(INDEX($C$30:$M$41, MATCH(1, (V15=$C$30:$C$41)*(CA15=$D$30:$D$41), 0), 11), "")</f>
        <v/>
      </c>
      <c r="CE15" s="131" t="str">
        <f t="array" ref="CE15">IFERROR(INDEX($C$30:$M$41, MATCH(1, (V15=$C$30:$C$41)*(CA15=$D$30:$D$41), 0), 9), "")</f>
        <v/>
      </c>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row>
    <row r="16" spans="1:112" ht="19.5" customHeight="1">
      <c r="A16" s="11"/>
      <c r="B16" s="17">
        <v>5</v>
      </c>
      <c r="C16" s="452" t="s">
        <v>19</v>
      </c>
      <c r="D16" s="31"/>
      <c r="E16" s="31"/>
      <c r="F16" s="31"/>
      <c r="G16" s="149" t="str">
        <f>IFERROR(VLOOKUP(F16, 'Lookup Tables'!$B$5:$C$2226, 2, FALSE), "")</f>
        <v/>
      </c>
      <c r="H16" s="32"/>
      <c r="I16" s="32"/>
      <c r="J16" s="122"/>
      <c r="K16" s="122"/>
      <c r="L16" s="122"/>
      <c r="M16" s="122"/>
      <c r="N16" s="122"/>
      <c r="O16" s="289"/>
      <c r="P16" s="289"/>
      <c r="Q16" s="290"/>
      <c r="R16" s="290"/>
      <c r="S16" s="290"/>
      <c r="T16" s="32"/>
      <c r="U16" s="32"/>
      <c r="V16" s="110"/>
      <c r="W16" s="32"/>
      <c r="X16" s="32"/>
      <c r="Y16" s="32"/>
      <c r="Z16" s="31"/>
      <c r="AA16" s="368"/>
      <c r="AB16" s="393"/>
      <c r="AC16" s="155" t="str">
        <f t="shared" si="21"/>
        <v/>
      </c>
      <c r="AD16" s="155" t="str">
        <f t="shared" si="22"/>
        <v/>
      </c>
      <c r="AE16" s="226" t="str">
        <f t="shared" si="0"/>
        <v/>
      </c>
      <c r="AF16" s="235" t="str">
        <f t="shared" si="1"/>
        <v/>
      </c>
      <c r="AG16" s="122"/>
      <c r="AH16" s="122"/>
      <c r="AI16" s="226" t="str">
        <f t="shared" si="2"/>
        <v/>
      </c>
      <c r="AJ16" s="235" t="str">
        <f t="shared" si="3"/>
        <v/>
      </c>
      <c r="AK16" s="122"/>
      <c r="AL16" s="122"/>
      <c r="AM16" s="289"/>
      <c r="AN16" s="289"/>
      <c r="AO16" s="290"/>
      <c r="AP16" s="290"/>
      <c r="AQ16" s="290"/>
      <c r="AR16" s="157">
        <f t="shared" si="23"/>
        <v>0</v>
      </c>
      <c r="AS16" s="157">
        <f t="shared" si="24"/>
        <v>0.75</v>
      </c>
      <c r="AT16" s="236" t="str">
        <f t="array" ref="AT16">IFERROR(IF(ISNUMBER(R16), R16, IF(OR(N16="", O16="", P16="",R16=""), INDEX($C$62:$G$133, MATCH(1, (AL16=$C$62:$C$133)*(AM16=$E$62:$E$133)*(AN16=$F$62:$F$133), 0), 5))),"")</f>
        <v/>
      </c>
      <c r="AU16" s="157">
        <f t="shared" si="25"/>
        <v>1</v>
      </c>
      <c r="AV16" s="157">
        <f t="shared" si="26"/>
        <v>0.75</v>
      </c>
      <c r="AW16" s="236" t="str">
        <f t="array" ref="AW16">IFERROR(IF(AP16="", INDEX($C$62:$G$133, MATCH(1, (AL16=$C$62:$C$133)*(AM16=$E$62:$E$133)*(AN16=$F$62:$F$133), 0), 5), AP16), "")</f>
        <v/>
      </c>
      <c r="AX16" s="157">
        <f t="shared" si="27"/>
        <v>1</v>
      </c>
      <c r="AY16" s="155" t="e">
        <f>VLOOKUP(E16, 'Lookup Tables'!$G$6:$P$19, MATCH(G16, 'Lookup Tables'!$H$5:$P$5,1)+1, FALSE)</f>
        <v>#N/A</v>
      </c>
      <c r="AZ16" s="155" t="str">
        <f>IFERROR(VLOOKUP(E16, 'Lookup Tables'!$R$6:$AA$19, MATCH(G16, 'Lookup Tables'!$S$5:$AA$5,1)+1, FALSE), "")</f>
        <v/>
      </c>
      <c r="BA16" s="155" t="e">
        <f t="shared" si="28"/>
        <v>#VALUE!</v>
      </c>
      <c r="BB16" s="157" t="e">
        <f>VLOOKUP(E16, 'Lookup Tables'!$AC$6:$AL$19, MATCH(G16, 'Lookup Tables'!$AD$5:$AL$5,1)+1, FALSE)</f>
        <v>#N/A</v>
      </c>
      <c r="BC16" s="468">
        <v>4</v>
      </c>
      <c r="BD16" s="158">
        <f t="shared" si="4"/>
        <v>12.169230769230769</v>
      </c>
      <c r="BE16" s="158" t="str">
        <f t="shared" si="5"/>
        <v/>
      </c>
      <c r="BF16" s="158" t="str">
        <f t="shared" si="6"/>
        <v/>
      </c>
      <c r="BG16" s="158" t="str">
        <f t="shared" si="7"/>
        <v/>
      </c>
      <c r="BH16" s="158" t="str">
        <f t="shared" si="8"/>
        <v/>
      </c>
      <c r="BI16" s="158" t="str">
        <f t="shared" si="9"/>
        <v/>
      </c>
      <c r="BJ16" s="158"/>
      <c r="BK16" s="158" t="str">
        <f t="shared" si="29"/>
        <v/>
      </c>
      <c r="BL16" s="158" t="str">
        <f t="shared" si="10"/>
        <v/>
      </c>
      <c r="BM16" s="158" t="str">
        <f t="shared" si="11"/>
        <v/>
      </c>
      <c r="BN16" s="158" t="str">
        <f t="shared" si="12"/>
        <v/>
      </c>
      <c r="BO16" s="157" t="e">
        <f t="shared" si="30"/>
        <v>#VALUE!</v>
      </c>
      <c r="BP16" s="157" t="e">
        <f t="shared" si="31"/>
        <v>#VALUE!</v>
      </c>
      <c r="BQ16" s="157" t="e">
        <f t="shared" si="13"/>
        <v>#VALUE!</v>
      </c>
      <c r="BR16" s="157" t="e">
        <f t="shared" si="14"/>
        <v>#VALUE!</v>
      </c>
      <c r="BS16" s="499" t="str">
        <f t="shared" si="15"/>
        <v/>
      </c>
      <c r="BT16" s="502" t="str">
        <f t="shared" si="16"/>
        <v/>
      </c>
      <c r="BU16" s="159" t="e">
        <f t="shared" si="32"/>
        <v>#VALUE!</v>
      </c>
      <c r="BV16" s="159" t="e">
        <f t="shared" si="33"/>
        <v>#VALUE!</v>
      </c>
      <c r="BW16" s="159" t="e">
        <f t="shared" si="34"/>
        <v>#VALUE!</v>
      </c>
      <c r="BX16" s="500" t="str">
        <f t="shared" si="17"/>
        <v/>
      </c>
      <c r="BY16" s="500">
        <f t="shared" si="18"/>
        <v>0</v>
      </c>
      <c r="BZ16" s="160" t="str">
        <f t="shared" si="35"/>
        <v/>
      </c>
      <c r="CA16" s="237" t="str">
        <f t="shared" si="19"/>
        <v>Does Not Qualify</v>
      </c>
      <c r="CB16" s="161" t="str">
        <f t="shared" si="20"/>
        <v/>
      </c>
      <c r="CC16" s="132" t="str">
        <f t="array" ref="CC16">IFERROR(INDEX($C$30:$M$41, MATCH(1, (V16=$C$30:$C$41)*(CA16=$D$30:$D$41), 0), 10), "")</f>
        <v/>
      </c>
      <c r="CD16" s="132" t="str">
        <f t="array" ref="CD16">IFERROR(INDEX($C$30:$M$41, MATCH(1, (V16=$C$30:$C$41)*(CA16=$D$30:$D$41), 0), 11), "")</f>
        <v/>
      </c>
      <c r="CE16" s="131" t="str">
        <f t="array" ref="CE16">IFERROR(INDEX($C$30:$M$41, MATCH(1, (V16=$C$30:$C$41)*(CA16=$D$30:$D$41), 0), 9), "")</f>
        <v/>
      </c>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row>
    <row r="17" spans="1:112" ht="19.5" customHeight="1">
      <c r="A17" s="11"/>
      <c r="B17" s="17">
        <v>6</v>
      </c>
      <c r="C17" s="452" t="s">
        <v>19</v>
      </c>
      <c r="D17" s="31"/>
      <c r="E17" s="31"/>
      <c r="F17" s="31"/>
      <c r="G17" s="149" t="str">
        <f>IFERROR(VLOOKUP(F17, 'Lookup Tables'!$B$5:$C$2226, 2, FALSE), "")</f>
        <v/>
      </c>
      <c r="H17" s="32"/>
      <c r="I17" s="32"/>
      <c r="J17" s="122"/>
      <c r="K17" s="122"/>
      <c r="L17" s="122"/>
      <c r="M17" s="122"/>
      <c r="N17" s="122"/>
      <c r="O17" s="289"/>
      <c r="P17" s="289"/>
      <c r="Q17" s="290"/>
      <c r="R17" s="290"/>
      <c r="S17" s="290"/>
      <c r="T17" s="32"/>
      <c r="U17" s="32"/>
      <c r="V17" s="110"/>
      <c r="W17" s="32"/>
      <c r="X17" s="32"/>
      <c r="Y17" s="32"/>
      <c r="Z17" s="31"/>
      <c r="AA17" s="368"/>
      <c r="AB17" s="393"/>
      <c r="AC17" s="155" t="str">
        <f t="shared" si="21"/>
        <v/>
      </c>
      <c r="AD17" s="155" t="str">
        <f t="shared" si="22"/>
        <v/>
      </c>
      <c r="AE17" s="226" t="str">
        <f t="shared" si="0"/>
        <v/>
      </c>
      <c r="AF17" s="235" t="str">
        <f t="shared" si="1"/>
        <v/>
      </c>
      <c r="AG17" s="122"/>
      <c r="AH17" s="122"/>
      <c r="AI17" s="226" t="str">
        <f t="shared" si="2"/>
        <v/>
      </c>
      <c r="AJ17" s="235" t="str">
        <f t="shared" si="3"/>
        <v/>
      </c>
      <c r="AK17" s="122"/>
      <c r="AL17" s="122"/>
      <c r="AM17" s="289"/>
      <c r="AN17" s="289"/>
      <c r="AO17" s="290"/>
      <c r="AP17" s="290"/>
      <c r="AQ17" s="290"/>
      <c r="AR17" s="157">
        <f t="shared" si="23"/>
        <v>0</v>
      </c>
      <c r="AS17" s="157">
        <f t="shared" si="24"/>
        <v>0.75</v>
      </c>
      <c r="AT17" s="236" t="str">
        <f t="array" ref="AT17">IFERROR(IF(ISNUMBER(R17), R17, IF(OR(N17="", O17="", P17="",R17=""), INDEX($C$62:$G$133, MATCH(1, (AL17=$C$62:$C$133)*(AM17=$E$62:$E$133)*(AN17=$F$62:$F$133), 0), 5))),"")</f>
        <v/>
      </c>
      <c r="AU17" s="157">
        <f t="shared" si="25"/>
        <v>1</v>
      </c>
      <c r="AV17" s="157">
        <f t="shared" si="26"/>
        <v>0.75</v>
      </c>
      <c r="AW17" s="236" t="str">
        <f t="array" ref="AW17">IFERROR(IF(AP17="", INDEX($C$62:$G$133, MATCH(1, (AL17=$C$62:$C$133)*(AM17=$E$62:$E$133)*(AN17=$F$62:$F$133), 0), 5), AP17), "")</f>
        <v/>
      </c>
      <c r="AX17" s="157">
        <f t="shared" si="27"/>
        <v>1</v>
      </c>
      <c r="AY17" s="155" t="e">
        <f>VLOOKUP(E17, 'Lookup Tables'!$G$6:$P$19, MATCH(G17, 'Lookup Tables'!$H$5:$P$5,1)+1, FALSE)</f>
        <v>#N/A</v>
      </c>
      <c r="AZ17" s="155" t="str">
        <f>IFERROR(VLOOKUP(E17, 'Lookup Tables'!$R$6:$AA$19, MATCH(G17, 'Lookup Tables'!$S$5:$AA$5,1)+1, FALSE), "")</f>
        <v/>
      </c>
      <c r="BA17" s="155" t="e">
        <f t="shared" si="28"/>
        <v>#VALUE!</v>
      </c>
      <c r="BB17" s="157" t="e">
        <f>VLOOKUP(E17, 'Lookup Tables'!$AC$6:$AL$19, MATCH(G17, 'Lookup Tables'!$AD$5:$AL$5,1)+1, FALSE)</f>
        <v>#N/A</v>
      </c>
      <c r="BC17" s="468">
        <v>5</v>
      </c>
      <c r="BD17" s="158">
        <f t="shared" si="4"/>
        <v>12.169230769230769</v>
      </c>
      <c r="BE17" s="158" t="str">
        <f t="shared" si="5"/>
        <v/>
      </c>
      <c r="BF17" s="158" t="str">
        <f t="shared" si="6"/>
        <v/>
      </c>
      <c r="BG17" s="158" t="str">
        <f t="shared" si="7"/>
        <v/>
      </c>
      <c r="BH17" s="158" t="str">
        <f t="shared" si="8"/>
        <v/>
      </c>
      <c r="BI17" s="158" t="str">
        <f t="shared" si="9"/>
        <v/>
      </c>
      <c r="BJ17" s="158"/>
      <c r="BK17" s="158" t="str">
        <f t="shared" si="29"/>
        <v/>
      </c>
      <c r="BL17" s="158" t="str">
        <f t="shared" si="10"/>
        <v/>
      </c>
      <c r="BM17" s="158" t="str">
        <f t="shared" si="11"/>
        <v/>
      </c>
      <c r="BN17" s="158" t="str">
        <f t="shared" si="12"/>
        <v/>
      </c>
      <c r="BO17" s="157" t="e">
        <f t="shared" si="30"/>
        <v>#VALUE!</v>
      </c>
      <c r="BP17" s="157" t="e">
        <f t="shared" si="31"/>
        <v>#VALUE!</v>
      </c>
      <c r="BQ17" s="157" t="e">
        <f t="shared" si="13"/>
        <v>#VALUE!</v>
      </c>
      <c r="BR17" s="157" t="e">
        <f t="shared" si="14"/>
        <v>#VALUE!</v>
      </c>
      <c r="BS17" s="499" t="str">
        <f t="shared" si="15"/>
        <v/>
      </c>
      <c r="BT17" s="502" t="str">
        <f t="shared" si="16"/>
        <v/>
      </c>
      <c r="BU17" s="159" t="e">
        <f t="shared" si="32"/>
        <v>#VALUE!</v>
      </c>
      <c r="BV17" s="159" t="e">
        <f t="shared" si="33"/>
        <v>#VALUE!</v>
      </c>
      <c r="BW17" s="159" t="e">
        <f t="shared" si="34"/>
        <v>#VALUE!</v>
      </c>
      <c r="BX17" s="500" t="str">
        <f t="shared" si="17"/>
        <v/>
      </c>
      <c r="BY17" s="500">
        <f t="shared" si="18"/>
        <v>0</v>
      </c>
      <c r="BZ17" s="160" t="str">
        <f t="shared" si="35"/>
        <v/>
      </c>
      <c r="CA17" s="237" t="str">
        <f t="shared" si="19"/>
        <v>Does Not Qualify</v>
      </c>
      <c r="CB17" s="161" t="str">
        <f t="shared" si="20"/>
        <v/>
      </c>
      <c r="CC17" s="132" t="str">
        <f t="array" ref="CC17">IFERROR(INDEX($C$30:$M$41, MATCH(1, (V17=$C$30:$C$41)*(CA17=$D$30:$D$41), 0), 10), "")</f>
        <v/>
      </c>
      <c r="CD17" s="132" t="str">
        <f t="array" ref="CD17">IFERROR(INDEX($C$30:$M$41, MATCH(1, (V17=$C$30:$C$41)*(CA17=$D$30:$D$41), 0), 11), "")</f>
        <v/>
      </c>
      <c r="CE17" s="131" t="str">
        <f t="array" ref="CE17">IFERROR(INDEX($C$30:$M$41, MATCH(1, (V17=$C$30:$C$41)*(CA17=$D$30:$D$41), 0), 9), "")</f>
        <v/>
      </c>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row>
    <row r="18" spans="1:112" ht="19.5" customHeight="1">
      <c r="A18" s="11"/>
      <c r="B18" s="17">
        <v>7</v>
      </c>
      <c r="C18" s="452" t="s">
        <v>19</v>
      </c>
      <c r="D18" s="31"/>
      <c r="E18" s="31"/>
      <c r="F18" s="31"/>
      <c r="G18" s="149" t="str">
        <f>IFERROR(VLOOKUP(F18, 'Lookup Tables'!$B$5:$C$2226, 2, FALSE), "")</f>
        <v/>
      </c>
      <c r="H18" s="32"/>
      <c r="I18" s="32"/>
      <c r="J18" s="122"/>
      <c r="K18" s="122"/>
      <c r="L18" s="122"/>
      <c r="M18" s="122"/>
      <c r="N18" s="122"/>
      <c r="O18" s="289"/>
      <c r="P18" s="289"/>
      <c r="Q18" s="290"/>
      <c r="R18" s="290"/>
      <c r="S18" s="290"/>
      <c r="T18" s="32"/>
      <c r="U18" s="32"/>
      <c r="V18" s="110"/>
      <c r="W18" s="32"/>
      <c r="X18" s="32"/>
      <c r="Y18" s="32"/>
      <c r="Z18" s="31"/>
      <c r="AA18" s="368"/>
      <c r="AB18" s="393"/>
      <c r="AC18" s="155" t="str">
        <f t="shared" si="21"/>
        <v/>
      </c>
      <c r="AD18" s="155" t="str">
        <f t="shared" si="22"/>
        <v/>
      </c>
      <c r="AE18" s="226" t="str">
        <f t="shared" si="0"/>
        <v/>
      </c>
      <c r="AF18" s="235" t="str">
        <f t="shared" si="1"/>
        <v/>
      </c>
      <c r="AG18" s="122"/>
      <c r="AH18" s="122"/>
      <c r="AI18" s="226" t="str">
        <f t="shared" si="2"/>
        <v/>
      </c>
      <c r="AJ18" s="235" t="str">
        <f t="shared" si="3"/>
        <v/>
      </c>
      <c r="AK18" s="122"/>
      <c r="AL18" s="122"/>
      <c r="AM18" s="289"/>
      <c r="AN18" s="289"/>
      <c r="AO18" s="290"/>
      <c r="AP18" s="290"/>
      <c r="AQ18" s="290"/>
      <c r="AR18" s="157">
        <f t="shared" si="23"/>
        <v>0</v>
      </c>
      <c r="AS18" s="157">
        <f t="shared" si="24"/>
        <v>0.75</v>
      </c>
      <c r="AT18" s="236" t="str">
        <f t="array" ref="AT18">IFERROR(IF(ISNUMBER(R18), R18, IF(OR(N18="", O18="", P18="",R18=""), INDEX($C$62:$G$133, MATCH(1, (AL18=$C$62:$C$133)*(AM18=$E$62:$E$133)*(AN18=$F$62:$F$133), 0), 5))),"")</f>
        <v/>
      </c>
      <c r="AU18" s="157">
        <f t="shared" si="25"/>
        <v>1</v>
      </c>
      <c r="AV18" s="157">
        <f t="shared" si="26"/>
        <v>0.75</v>
      </c>
      <c r="AW18" s="236" t="str">
        <f t="array" ref="AW18">IFERROR(IF(AP18="", INDEX($C$62:$G$133, MATCH(1, (AL18=$C$62:$C$133)*(AM18=$E$62:$E$133)*(AN18=$F$62:$F$133), 0), 5), AP18), "")</f>
        <v/>
      </c>
      <c r="AX18" s="157">
        <f t="shared" si="27"/>
        <v>1</v>
      </c>
      <c r="AY18" s="155" t="e">
        <f>VLOOKUP(E18, 'Lookup Tables'!$G$6:$P$19, MATCH(G18, 'Lookup Tables'!$H$5:$P$5,1)+1, FALSE)</f>
        <v>#N/A</v>
      </c>
      <c r="AZ18" s="155" t="str">
        <f>IFERROR(VLOOKUP(E18, 'Lookup Tables'!$R$6:$AA$19, MATCH(G18, 'Lookup Tables'!$S$5:$AA$5,1)+1, FALSE), "")</f>
        <v/>
      </c>
      <c r="BA18" s="155" t="e">
        <f t="shared" si="28"/>
        <v>#VALUE!</v>
      </c>
      <c r="BB18" s="157" t="e">
        <f>VLOOKUP(E18, 'Lookup Tables'!$AC$6:$AL$19, MATCH(G18, 'Lookup Tables'!$AD$5:$AL$5,1)+1, FALSE)</f>
        <v>#N/A</v>
      </c>
      <c r="BC18" s="468">
        <v>6</v>
      </c>
      <c r="BD18" s="158">
        <f t="shared" si="4"/>
        <v>12.169230769230769</v>
      </c>
      <c r="BE18" s="158" t="str">
        <f t="shared" si="5"/>
        <v/>
      </c>
      <c r="BF18" s="158" t="str">
        <f t="shared" si="6"/>
        <v/>
      </c>
      <c r="BG18" s="158" t="str">
        <f t="shared" si="7"/>
        <v/>
      </c>
      <c r="BH18" s="158" t="str">
        <f t="shared" si="8"/>
        <v/>
      </c>
      <c r="BI18" s="158" t="str">
        <f t="shared" si="9"/>
        <v/>
      </c>
      <c r="BJ18" s="158"/>
      <c r="BK18" s="158" t="str">
        <f t="shared" si="29"/>
        <v/>
      </c>
      <c r="BL18" s="158" t="str">
        <f t="shared" si="10"/>
        <v/>
      </c>
      <c r="BM18" s="158" t="str">
        <f t="shared" si="11"/>
        <v/>
      </c>
      <c r="BN18" s="158" t="str">
        <f t="shared" si="12"/>
        <v/>
      </c>
      <c r="BO18" s="157" t="e">
        <f t="shared" si="30"/>
        <v>#VALUE!</v>
      </c>
      <c r="BP18" s="157" t="e">
        <f t="shared" si="31"/>
        <v>#VALUE!</v>
      </c>
      <c r="BQ18" s="157" t="e">
        <f t="shared" si="13"/>
        <v>#VALUE!</v>
      </c>
      <c r="BR18" s="157" t="e">
        <f t="shared" si="14"/>
        <v>#VALUE!</v>
      </c>
      <c r="BS18" s="499" t="str">
        <f t="shared" si="15"/>
        <v/>
      </c>
      <c r="BT18" s="502" t="str">
        <f t="shared" si="16"/>
        <v/>
      </c>
      <c r="BU18" s="159" t="e">
        <f t="shared" si="32"/>
        <v>#VALUE!</v>
      </c>
      <c r="BV18" s="159" t="e">
        <f t="shared" si="33"/>
        <v>#VALUE!</v>
      </c>
      <c r="BW18" s="159" t="e">
        <f t="shared" si="34"/>
        <v>#VALUE!</v>
      </c>
      <c r="BX18" s="500" t="str">
        <f t="shared" si="17"/>
        <v/>
      </c>
      <c r="BY18" s="500">
        <f t="shared" si="18"/>
        <v>0</v>
      </c>
      <c r="BZ18" s="160" t="str">
        <f t="shared" si="35"/>
        <v/>
      </c>
      <c r="CA18" s="237" t="str">
        <f t="shared" si="19"/>
        <v>Does Not Qualify</v>
      </c>
      <c r="CB18" s="161" t="str">
        <f t="shared" si="20"/>
        <v/>
      </c>
      <c r="CC18" s="132" t="str">
        <f t="array" ref="CC18">IFERROR(INDEX($C$30:$M$41, MATCH(1, (V18=$C$30:$C$41)*(CA18=$D$30:$D$41), 0), 10), "")</f>
        <v/>
      </c>
      <c r="CD18" s="132" t="str">
        <f t="array" ref="CD18">IFERROR(INDEX($C$30:$M$41, MATCH(1, (V18=$C$30:$C$41)*(CA18=$D$30:$D$41), 0), 11), "")</f>
        <v/>
      </c>
      <c r="CE18" s="131" t="str">
        <f t="array" ref="CE18">IFERROR(INDEX($C$30:$M$41, MATCH(1, (V18=$C$30:$C$41)*(CA18=$D$30:$D$41), 0), 9), "")</f>
        <v/>
      </c>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row>
    <row r="19" spans="1:112" ht="19.5" customHeight="1">
      <c r="A19" s="11"/>
      <c r="B19" s="17">
        <v>8</v>
      </c>
      <c r="C19" s="452" t="s">
        <v>19</v>
      </c>
      <c r="D19" s="31"/>
      <c r="E19" s="31"/>
      <c r="F19" s="31"/>
      <c r="G19" s="149" t="str">
        <f>IFERROR(VLOOKUP(F19, 'Lookup Tables'!$B$5:$C$2226, 2, FALSE), "")</f>
        <v/>
      </c>
      <c r="H19" s="32"/>
      <c r="I19" s="32"/>
      <c r="J19" s="122"/>
      <c r="K19" s="122"/>
      <c r="L19" s="122"/>
      <c r="M19" s="122"/>
      <c r="N19" s="122"/>
      <c r="O19" s="289"/>
      <c r="P19" s="289"/>
      <c r="Q19" s="290"/>
      <c r="R19" s="290"/>
      <c r="S19" s="290"/>
      <c r="T19" s="32"/>
      <c r="U19" s="32"/>
      <c r="V19" s="110"/>
      <c r="W19" s="32"/>
      <c r="X19" s="32"/>
      <c r="Y19" s="32"/>
      <c r="Z19" s="31"/>
      <c r="AA19" s="368"/>
      <c r="AB19" s="393"/>
      <c r="AC19" s="155" t="str">
        <f t="shared" si="21"/>
        <v/>
      </c>
      <c r="AD19" s="155" t="str">
        <f t="shared" si="22"/>
        <v/>
      </c>
      <c r="AE19" s="226" t="str">
        <f t="shared" si="0"/>
        <v/>
      </c>
      <c r="AF19" s="235" t="str">
        <f t="shared" si="1"/>
        <v/>
      </c>
      <c r="AG19" s="122"/>
      <c r="AH19" s="122"/>
      <c r="AI19" s="226" t="str">
        <f t="shared" si="2"/>
        <v/>
      </c>
      <c r="AJ19" s="235" t="str">
        <f t="shared" si="3"/>
        <v/>
      </c>
      <c r="AK19" s="122"/>
      <c r="AL19" s="122"/>
      <c r="AM19" s="289"/>
      <c r="AN19" s="289"/>
      <c r="AO19" s="290"/>
      <c r="AP19" s="290"/>
      <c r="AQ19" s="290"/>
      <c r="AR19" s="157">
        <f t="shared" si="23"/>
        <v>0</v>
      </c>
      <c r="AS19" s="157">
        <f t="shared" si="24"/>
        <v>0.75</v>
      </c>
      <c r="AT19" s="236" t="str">
        <f t="array" ref="AT19">IFERROR(IF(ISNUMBER(R19), R19, IF(OR(N19="", O19="", P19="",R19=""), INDEX($C$62:$G$133, MATCH(1, (AL19=$C$62:$C$133)*(AM19=$E$62:$E$133)*(AN19=$F$62:$F$133), 0), 5))),"")</f>
        <v/>
      </c>
      <c r="AU19" s="157">
        <f t="shared" si="25"/>
        <v>1</v>
      </c>
      <c r="AV19" s="157">
        <f t="shared" si="26"/>
        <v>0.75</v>
      </c>
      <c r="AW19" s="236" t="str">
        <f t="array" ref="AW19">IFERROR(IF(AP19="", INDEX($C$62:$G$133, MATCH(1, (AL19=$C$62:$C$133)*(AM19=$E$62:$E$133)*(AN19=$F$62:$F$133), 0), 5), AP19), "")</f>
        <v/>
      </c>
      <c r="AX19" s="157">
        <f t="shared" si="27"/>
        <v>1</v>
      </c>
      <c r="AY19" s="155" t="e">
        <f>VLOOKUP(E19, 'Lookup Tables'!$G$6:$P$19, MATCH(G19, 'Lookup Tables'!$H$5:$P$5,1)+1, FALSE)</f>
        <v>#N/A</v>
      </c>
      <c r="AZ19" s="155" t="str">
        <f>IFERROR(VLOOKUP(E19, 'Lookup Tables'!$R$6:$AA$19, MATCH(G19, 'Lookup Tables'!$S$5:$AA$5,1)+1, FALSE), "")</f>
        <v/>
      </c>
      <c r="BA19" s="155" t="e">
        <f t="shared" si="28"/>
        <v>#VALUE!</v>
      </c>
      <c r="BB19" s="157" t="e">
        <f>VLOOKUP(E19, 'Lookup Tables'!$AC$6:$AL$19, MATCH(G19, 'Lookup Tables'!$AD$5:$AL$5,1)+1, FALSE)</f>
        <v>#N/A</v>
      </c>
      <c r="BC19" s="468">
        <v>7</v>
      </c>
      <c r="BD19" s="158">
        <f t="shared" si="4"/>
        <v>12.169230769230769</v>
      </c>
      <c r="BE19" s="158" t="str">
        <f t="shared" si="5"/>
        <v/>
      </c>
      <c r="BF19" s="158" t="str">
        <f t="shared" si="6"/>
        <v/>
      </c>
      <c r="BG19" s="158" t="str">
        <f t="shared" si="7"/>
        <v/>
      </c>
      <c r="BH19" s="158" t="str">
        <f t="shared" si="8"/>
        <v/>
      </c>
      <c r="BI19" s="158" t="str">
        <f t="shared" si="9"/>
        <v/>
      </c>
      <c r="BJ19" s="158"/>
      <c r="BK19" s="158" t="str">
        <f t="shared" si="29"/>
        <v/>
      </c>
      <c r="BL19" s="158" t="str">
        <f t="shared" si="10"/>
        <v/>
      </c>
      <c r="BM19" s="158" t="str">
        <f t="shared" si="11"/>
        <v/>
      </c>
      <c r="BN19" s="158" t="str">
        <f t="shared" si="12"/>
        <v/>
      </c>
      <c r="BO19" s="157" t="e">
        <f t="shared" si="30"/>
        <v>#VALUE!</v>
      </c>
      <c r="BP19" s="157" t="e">
        <f t="shared" si="31"/>
        <v>#VALUE!</v>
      </c>
      <c r="BQ19" s="157" t="e">
        <f t="shared" si="13"/>
        <v>#VALUE!</v>
      </c>
      <c r="BR19" s="157" t="e">
        <f t="shared" si="14"/>
        <v>#VALUE!</v>
      </c>
      <c r="BS19" s="499" t="str">
        <f t="shared" si="15"/>
        <v/>
      </c>
      <c r="BT19" s="502" t="str">
        <f t="shared" si="16"/>
        <v/>
      </c>
      <c r="BU19" s="159" t="e">
        <f t="shared" si="32"/>
        <v>#VALUE!</v>
      </c>
      <c r="BV19" s="159" t="e">
        <f t="shared" si="33"/>
        <v>#VALUE!</v>
      </c>
      <c r="BW19" s="159" t="e">
        <f t="shared" si="34"/>
        <v>#VALUE!</v>
      </c>
      <c r="BX19" s="500" t="str">
        <f t="shared" si="17"/>
        <v/>
      </c>
      <c r="BY19" s="500">
        <f t="shared" si="18"/>
        <v>0</v>
      </c>
      <c r="BZ19" s="160" t="str">
        <f t="shared" si="35"/>
        <v/>
      </c>
      <c r="CA19" s="237" t="str">
        <f t="shared" si="19"/>
        <v>Does Not Qualify</v>
      </c>
      <c r="CB19" s="161" t="str">
        <f t="shared" si="20"/>
        <v/>
      </c>
      <c r="CC19" s="132" t="str">
        <f t="array" ref="CC19">IFERROR(INDEX($C$30:$M$41, MATCH(1, (V19=$C$30:$C$41)*(CA19=$D$30:$D$41), 0), 10), "")</f>
        <v/>
      </c>
      <c r="CD19" s="132" t="str">
        <f t="array" ref="CD19">IFERROR(INDEX($C$30:$M$41, MATCH(1, (V19=$C$30:$C$41)*(CA19=$D$30:$D$41), 0), 11), "")</f>
        <v/>
      </c>
      <c r="CE19" s="131" t="str">
        <f t="array" ref="CE19">IFERROR(INDEX($C$30:$M$41, MATCH(1, (V19=$C$30:$C$41)*(CA19=$D$30:$D$41), 0), 9), "")</f>
        <v/>
      </c>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row>
    <row r="20" spans="1:112" ht="3.75" customHeight="1">
      <c r="A20" s="11"/>
      <c r="B20" s="190"/>
      <c r="C20" s="190"/>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c r="CD20" s="190"/>
      <c r="CE20" s="190"/>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row>
    <row r="21" spans="1:112" ht="13.5" hidden="1"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row>
    <row r="22" spans="1:112" ht="13.5" hidden="1"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row>
    <row r="23" spans="1:112" ht="13.5" hidden="1"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row>
    <row r="24" spans="1:112" ht="13.5" hidden="1"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row>
    <row r="25" spans="1:112" ht="13.5" hidden="1"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row>
    <row r="26" spans="1:112" ht="13.5" hidden="1"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row>
    <row r="27" spans="1:112" ht="13.5" hidden="1"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row>
    <row r="28" spans="1:112" ht="15" hidden="1" customHeight="1">
      <c r="A28" s="147"/>
      <c r="B28" s="147"/>
      <c r="C28" s="397" t="s">
        <v>449</v>
      </c>
      <c r="D28" s="398"/>
      <c r="E28" s="398"/>
      <c r="F28" s="399"/>
      <c r="G28" s="773" t="s">
        <v>450</v>
      </c>
      <c r="H28" s="773"/>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row>
    <row r="29" spans="1:112" ht="15" hidden="1" customHeight="1">
      <c r="A29" s="147"/>
      <c r="B29" s="147"/>
      <c r="C29" s="463" t="s">
        <v>451</v>
      </c>
      <c r="D29" s="463" t="s">
        <v>452</v>
      </c>
      <c r="E29" s="463" t="s">
        <v>252</v>
      </c>
      <c r="F29" s="463" t="s">
        <v>366</v>
      </c>
      <c r="G29" s="463" t="s">
        <v>453</v>
      </c>
      <c r="H29" s="463" t="s">
        <v>454</v>
      </c>
      <c r="I29" s="463" t="s">
        <v>45</v>
      </c>
      <c r="J29" s="463" t="s">
        <v>256</v>
      </c>
      <c r="K29" s="464" t="s">
        <v>134</v>
      </c>
      <c r="L29" s="464" t="s">
        <v>132</v>
      </c>
      <c r="M29" s="464" t="s">
        <v>143</v>
      </c>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row>
    <row r="30" spans="1:112" ht="15" hidden="1" customHeight="1">
      <c r="A30" s="147"/>
      <c r="B30" s="147"/>
      <c r="C30" s="43" t="s">
        <v>455</v>
      </c>
      <c r="D30" s="43" t="s">
        <v>456</v>
      </c>
      <c r="E30" s="116">
        <v>12.2</v>
      </c>
      <c r="F30" s="116">
        <v>4.3</v>
      </c>
      <c r="G30" s="116">
        <f t="shared" ref="G30:G41" si="36">ROUND(E30*1.05, 1)</f>
        <v>12.8</v>
      </c>
      <c r="H30" s="116">
        <f t="shared" ref="H30:H41" si="37">ROUND(F30*1.05, 1)</f>
        <v>4.5</v>
      </c>
      <c r="I30" s="24">
        <v>150</v>
      </c>
      <c r="J30" s="43" t="s">
        <v>265</v>
      </c>
      <c r="K30" s="388" t="s">
        <v>457</v>
      </c>
      <c r="L30" s="23" t="s">
        <v>458</v>
      </c>
      <c r="M30" s="23" t="s">
        <v>459</v>
      </c>
      <c r="N30" s="11"/>
      <c r="O30" s="11"/>
      <c r="P30" s="11"/>
      <c r="Q30" s="11"/>
      <c r="R30" s="11"/>
      <c r="S30" s="11"/>
      <c r="T30" s="11"/>
      <c r="U30" s="11"/>
      <c r="V30" s="11"/>
      <c r="W30" s="11"/>
      <c r="X30" s="11"/>
      <c r="Y30" s="11"/>
      <c r="Z30" s="11"/>
      <c r="AA30" s="11"/>
      <c r="AB30" s="11"/>
      <c r="AC30" s="11"/>
      <c r="AD30" s="11"/>
      <c r="AE30" s="11"/>
      <c r="AF30" s="11"/>
      <c r="AG30" s="11"/>
      <c r="AH30" s="11"/>
      <c r="AI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row>
    <row r="31" spans="1:112" ht="15" hidden="1" customHeight="1">
      <c r="A31" s="147"/>
      <c r="B31" s="147"/>
      <c r="C31" s="43" t="s">
        <v>455</v>
      </c>
      <c r="D31" s="43" t="s">
        <v>460</v>
      </c>
      <c r="E31" s="116">
        <v>13</v>
      </c>
      <c r="F31" s="116">
        <v>4.3</v>
      </c>
      <c r="G31" s="116">
        <f t="shared" si="36"/>
        <v>13.7</v>
      </c>
      <c r="H31" s="116">
        <f t="shared" si="37"/>
        <v>4.5</v>
      </c>
      <c r="I31" s="24">
        <v>150</v>
      </c>
      <c r="J31" s="43" t="s">
        <v>265</v>
      </c>
      <c r="K31" s="388" t="s">
        <v>457</v>
      </c>
      <c r="L31" s="23" t="s">
        <v>461</v>
      </c>
      <c r="M31" s="23" t="s">
        <v>459</v>
      </c>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row>
    <row r="32" spans="1:112" ht="15" hidden="1" customHeight="1">
      <c r="A32" s="147"/>
      <c r="B32" s="147"/>
      <c r="C32" s="43" t="s">
        <v>462</v>
      </c>
      <c r="D32" s="43" t="s">
        <v>456</v>
      </c>
      <c r="E32" s="116">
        <v>10.6</v>
      </c>
      <c r="F32" s="116">
        <v>3.7</v>
      </c>
      <c r="G32" s="116">
        <f t="shared" si="36"/>
        <v>11.1</v>
      </c>
      <c r="H32" s="116">
        <f t="shared" si="37"/>
        <v>3.9</v>
      </c>
      <c r="I32" s="24">
        <v>150</v>
      </c>
      <c r="J32" s="43" t="s">
        <v>265</v>
      </c>
      <c r="K32" s="388" t="s">
        <v>457</v>
      </c>
      <c r="L32" s="23" t="s">
        <v>458</v>
      </c>
      <c r="M32" s="23" t="s">
        <v>459</v>
      </c>
      <c r="N32" s="11"/>
      <c r="O32" s="11"/>
      <c r="P32" s="11"/>
      <c r="Q32" s="11"/>
      <c r="R32" s="11"/>
      <c r="S32" s="11"/>
      <c r="T32" s="11"/>
      <c r="U32" s="11"/>
      <c r="V32" s="11" t="e">
        <f t="shared" ref="V32:V37" si="38">MATCH(V12,$C$30:$C$41,0)</f>
        <v>#N/A</v>
      </c>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row>
    <row r="33" spans="1:112" ht="15" hidden="1" customHeight="1">
      <c r="A33" s="147"/>
      <c r="B33" s="147"/>
      <c r="C33" s="43" t="s">
        <v>462</v>
      </c>
      <c r="D33" s="43" t="s">
        <v>460</v>
      </c>
      <c r="E33" s="116">
        <v>10.6</v>
      </c>
      <c r="F33" s="116">
        <v>3.7</v>
      </c>
      <c r="G33" s="116">
        <f t="shared" si="36"/>
        <v>11.1</v>
      </c>
      <c r="H33" s="116">
        <f t="shared" si="37"/>
        <v>3.9</v>
      </c>
      <c r="I33" s="24">
        <v>150</v>
      </c>
      <c r="J33" s="43" t="s">
        <v>265</v>
      </c>
      <c r="K33" s="388" t="s">
        <v>457</v>
      </c>
      <c r="L33" s="23" t="s">
        <v>461</v>
      </c>
      <c r="M33" s="23" t="s">
        <v>459</v>
      </c>
      <c r="N33" s="11"/>
      <c r="O33" s="11"/>
      <c r="P33" s="11"/>
      <c r="Q33" s="11"/>
      <c r="R33" s="11"/>
      <c r="S33" s="11"/>
      <c r="T33" s="11"/>
      <c r="U33" s="11"/>
      <c r="V33" s="11" t="e">
        <f t="shared" si="38"/>
        <v>#N/A</v>
      </c>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row>
    <row r="34" spans="1:112" hidden="1">
      <c r="A34" s="147"/>
      <c r="B34" s="147"/>
      <c r="C34" s="43" t="s">
        <v>463</v>
      </c>
      <c r="D34" s="43" t="s">
        <v>456</v>
      </c>
      <c r="E34" s="116">
        <v>14.1</v>
      </c>
      <c r="F34" s="116">
        <v>3.2</v>
      </c>
      <c r="G34" s="116">
        <f t="shared" si="36"/>
        <v>14.8</v>
      </c>
      <c r="H34" s="116">
        <f t="shared" si="37"/>
        <v>3.4</v>
      </c>
      <c r="I34" s="24">
        <v>150</v>
      </c>
      <c r="J34" s="43" t="s">
        <v>265</v>
      </c>
      <c r="K34" s="388" t="s">
        <v>457</v>
      </c>
      <c r="L34" s="23" t="s">
        <v>464</v>
      </c>
      <c r="M34" s="23" t="s">
        <v>459</v>
      </c>
      <c r="N34" s="11"/>
      <c r="O34" s="11"/>
      <c r="P34" s="11"/>
      <c r="Q34" s="11"/>
      <c r="R34" s="11"/>
      <c r="S34" s="11"/>
      <c r="T34" s="11"/>
      <c r="U34" s="11"/>
      <c r="V34" s="11" t="e">
        <f t="shared" si="38"/>
        <v>#N/A</v>
      </c>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row>
    <row r="35" spans="1:112" hidden="1">
      <c r="A35" s="147"/>
      <c r="B35" s="147"/>
      <c r="C35" s="43" t="s">
        <v>463</v>
      </c>
      <c r="D35" s="43" t="s">
        <v>460</v>
      </c>
      <c r="E35" s="116">
        <v>14.1</v>
      </c>
      <c r="F35" s="116">
        <v>3.2</v>
      </c>
      <c r="G35" s="116">
        <f t="shared" si="36"/>
        <v>14.8</v>
      </c>
      <c r="H35" s="116">
        <f t="shared" si="37"/>
        <v>3.4</v>
      </c>
      <c r="I35" s="24">
        <v>150</v>
      </c>
      <c r="J35" s="43" t="s">
        <v>265</v>
      </c>
      <c r="K35" s="388" t="s">
        <v>457</v>
      </c>
      <c r="L35" s="23" t="s">
        <v>464</v>
      </c>
      <c r="M35" s="23" t="s">
        <v>459</v>
      </c>
      <c r="N35" s="11"/>
      <c r="O35" s="11"/>
      <c r="P35" s="11"/>
      <c r="Q35" s="11"/>
      <c r="R35" s="11"/>
      <c r="S35" s="11"/>
      <c r="T35" s="11"/>
      <c r="U35" s="11"/>
      <c r="V35" s="11" t="e">
        <f t="shared" si="38"/>
        <v>#N/A</v>
      </c>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row>
    <row r="36" spans="1:112" hidden="1">
      <c r="A36" s="147"/>
      <c r="B36" s="147"/>
      <c r="C36" s="43" t="s">
        <v>465</v>
      </c>
      <c r="D36" s="43" t="s">
        <v>456</v>
      </c>
      <c r="E36" s="116">
        <v>12.1</v>
      </c>
      <c r="F36" s="116">
        <v>2.5</v>
      </c>
      <c r="G36" s="116">
        <f t="shared" si="36"/>
        <v>12.7</v>
      </c>
      <c r="H36" s="116">
        <f t="shared" si="37"/>
        <v>2.6</v>
      </c>
      <c r="I36" s="24">
        <v>150</v>
      </c>
      <c r="J36" s="43" t="s">
        <v>265</v>
      </c>
      <c r="K36" s="388" t="s">
        <v>457</v>
      </c>
      <c r="L36" s="23" t="s">
        <v>464</v>
      </c>
      <c r="M36" s="23" t="s">
        <v>459</v>
      </c>
      <c r="N36" s="11"/>
      <c r="O36" s="11"/>
      <c r="P36" s="11"/>
      <c r="Q36" s="11"/>
      <c r="R36" s="11"/>
      <c r="S36" s="11"/>
      <c r="T36" s="11"/>
      <c r="U36" s="11"/>
      <c r="V36" s="11" t="e">
        <f t="shared" si="38"/>
        <v>#N/A</v>
      </c>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row>
    <row r="37" spans="1:112" hidden="1">
      <c r="A37" s="147"/>
      <c r="B37" s="147"/>
      <c r="C37" s="43" t="s">
        <v>465</v>
      </c>
      <c r="D37" s="43" t="s">
        <v>460</v>
      </c>
      <c r="E37" s="116">
        <v>12.1</v>
      </c>
      <c r="F37" s="116">
        <v>2.5</v>
      </c>
      <c r="G37" s="116">
        <f t="shared" si="36"/>
        <v>12.7</v>
      </c>
      <c r="H37" s="116">
        <f t="shared" si="37"/>
        <v>2.6</v>
      </c>
      <c r="I37" s="24">
        <v>150</v>
      </c>
      <c r="J37" s="43" t="s">
        <v>265</v>
      </c>
      <c r="K37" s="388" t="s">
        <v>457</v>
      </c>
      <c r="L37" s="23" t="s">
        <v>464</v>
      </c>
      <c r="M37" s="23" t="s">
        <v>459</v>
      </c>
      <c r="N37" s="11"/>
      <c r="O37" s="11"/>
      <c r="P37" s="11"/>
      <c r="Q37" s="11"/>
      <c r="R37" s="11"/>
      <c r="S37" s="11"/>
      <c r="T37" s="11"/>
      <c r="U37" s="11"/>
      <c r="V37" s="11" t="e">
        <f t="shared" si="38"/>
        <v>#N/A</v>
      </c>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row>
    <row r="38" spans="1:112" hidden="1">
      <c r="A38" s="147"/>
      <c r="B38" s="147"/>
      <c r="C38" s="43" t="s">
        <v>466</v>
      </c>
      <c r="D38" s="43" t="s">
        <v>456</v>
      </c>
      <c r="E38" s="116">
        <v>18</v>
      </c>
      <c r="F38" s="116">
        <v>3.7</v>
      </c>
      <c r="G38" s="116">
        <f t="shared" si="36"/>
        <v>18.899999999999999</v>
      </c>
      <c r="H38" s="116">
        <f t="shared" si="37"/>
        <v>3.9</v>
      </c>
      <c r="I38" s="24">
        <v>150</v>
      </c>
      <c r="J38" s="43" t="s">
        <v>265</v>
      </c>
      <c r="K38" s="388" t="s">
        <v>457</v>
      </c>
      <c r="L38" s="23" t="s">
        <v>467</v>
      </c>
      <c r="M38" s="23" t="s">
        <v>459</v>
      </c>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row>
    <row r="39" spans="1:112" hidden="1">
      <c r="A39" s="147"/>
      <c r="B39" s="147"/>
      <c r="C39" s="43" t="s">
        <v>466</v>
      </c>
      <c r="D39" s="43" t="s">
        <v>460</v>
      </c>
      <c r="E39" s="116">
        <v>18</v>
      </c>
      <c r="F39" s="116">
        <v>3.7</v>
      </c>
      <c r="G39" s="116">
        <f t="shared" si="36"/>
        <v>18.899999999999999</v>
      </c>
      <c r="H39" s="116">
        <f t="shared" si="37"/>
        <v>3.9</v>
      </c>
      <c r="I39" s="24">
        <v>150</v>
      </c>
      <c r="J39" s="43" t="s">
        <v>265</v>
      </c>
      <c r="K39" s="388" t="s">
        <v>457</v>
      </c>
      <c r="L39" s="23" t="s">
        <v>467</v>
      </c>
      <c r="M39" s="23" t="s">
        <v>459</v>
      </c>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row>
    <row r="40" spans="1:112" hidden="1">
      <c r="A40" s="147"/>
      <c r="B40" s="147"/>
      <c r="C40" s="43" t="s">
        <v>468</v>
      </c>
      <c r="D40" s="43" t="s">
        <v>456</v>
      </c>
      <c r="E40" s="116">
        <v>16.3</v>
      </c>
      <c r="F40" s="116">
        <v>3.1</v>
      </c>
      <c r="G40" s="116">
        <f t="shared" si="36"/>
        <v>17.100000000000001</v>
      </c>
      <c r="H40" s="116">
        <f t="shared" si="37"/>
        <v>3.3</v>
      </c>
      <c r="I40" s="24">
        <v>150</v>
      </c>
      <c r="J40" s="43" t="s">
        <v>265</v>
      </c>
      <c r="K40" s="388" t="s">
        <v>457</v>
      </c>
      <c r="L40" s="23" t="s">
        <v>467</v>
      </c>
      <c r="M40" s="23" t="s">
        <v>459</v>
      </c>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row>
    <row r="41" spans="1:112" hidden="1">
      <c r="A41" s="147"/>
      <c r="B41" s="147"/>
      <c r="C41" s="43" t="s">
        <v>468</v>
      </c>
      <c r="D41" s="43" t="s">
        <v>460</v>
      </c>
      <c r="E41" s="116">
        <v>16.3</v>
      </c>
      <c r="F41" s="116">
        <v>3.1</v>
      </c>
      <c r="G41" s="116">
        <f t="shared" si="36"/>
        <v>17.100000000000001</v>
      </c>
      <c r="H41" s="116">
        <f t="shared" si="37"/>
        <v>3.3</v>
      </c>
      <c r="I41" s="24">
        <v>150</v>
      </c>
      <c r="J41" s="43" t="s">
        <v>265</v>
      </c>
      <c r="K41" s="388" t="s">
        <v>457</v>
      </c>
      <c r="L41" s="23" t="s">
        <v>467</v>
      </c>
      <c r="M41" s="23" t="s">
        <v>459</v>
      </c>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row>
    <row r="42" spans="1:112" hidden="1">
      <c r="A42" s="147"/>
      <c r="B42" s="147"/>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row>
    <row r="43" spans="1:112" hidden="1">
      <c r="A43" s="147"/>
      <c r="B43" s="147"/>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row>
    <row r="44" spans="1:112" hidden="1">
      <c r="A44" s="147"/>
      <c r="B44" s="147"/>
      <c r="C44" s="11"/>
      <c r="D44" s="772" t="s">
        <v>469</v>
      </c>
      <c r="E44" s="772"/>
      <c r="F44" s="772"/>
      <c r="G44" s="772"/>
      <c r="H44" s="772"/>
      <c r="I44" s="772"/>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row>
    <row r="45" spans="1:112" hidden="1">
      <c r="A45" s="147"/>
      <c r="B45" s="147"/>
      <c r="C45" s="463" t="s">
        <v>451</v>
      </c>
      <c r="D45" s="463" t="s">
        <v>452</v>
      </c>
      <c r="E45" s="463" t="s">
        <v>246</v>
      </c>
      <c r="F45" s="463" t="s">
        <v>206</v>
      </c>
      <c r="G45" s="463" t="s">
        <v>470</v>
      </c>
      <c r="H45" s="463" t="s">
        <v>471</v>
      </c>
      <c r="I45" s="463" t="s">
        <v>370</v>
      </c>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row>
    <row r="46" spans="1:112" ht="15.75" hidden="1" customHeight="1">
      <c r="A46" s="147"/>
      <c r="B46" s="147"/>
      <c r="C46" s="23" t="s">
        <v>472</v>
      </c>
      <c r="D46" s="118" t="s">
        <v>473</v>
      </c>
      <c r="E46" s="117">
        <v>14</v>
      </c>
      <c r="F46" s="117">
        <f>E46*(11.3/13)</f>
        <v>12.169230769230769</v>
      </c>
      <c r="G46" s="117" t="s">
        <v>109</v>
      </c>
      <c r="H46" s="117">
        <v>8.1999999999999993</v>
      </c>
      <c r="I46" s="117" t="s">
        <v>109</v>
      </c>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row>
    <row r="47" spans="1:112" hidden="1">
      <c r="A47" s="147"/>
      <c r="B47" s="147"/>
      <c r="C47" s="23" t="s">
        <v>472</v>
      </c>
      <c r="D47" s="118" t="s">
        <v>474</v>
      </c>
      <c r="E47" s="117" t="s">
        <v>109</v>
      </c>
      <c r="F47" s="117">
        <v>11</v>
      </c>
      <c r="G47" s="117">
        <v>12.2</v>
      </c>
      <c r="H47" s="117" t="s">
        <v>109</v>
      </c>
      <c r="I47" s="117">
        <v>3.3</v>
      </c>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row>
    <row r="48" spans="1:112" hidden="1">
      <c r="A48" s="147"/>
      <c r="B48" s="147"/>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row>
    <row r="49" spans="1:114" hidden="1">
      <c r="A49" s="147"/>
      <c r="B49" s="147"/>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row>
    <row r="50" spans="1:114" hidden="1">
      <c r="A50" s="147"/>
      <c r="B50" s="147"/>
      <c r="C50" s="456" t="s">
        <v>209</v>
      </c>
      <c r="D50" s="456" t="s">
        <v>475</v>
      </c>
      <c r="E50" s="456" t="s">
        <v>476</v>
      </c>
      <c r="F50" s="53"/>
      <c r="G50" s="53"/>
      <c r="H50" s="11"/>
      <c r="I50" s="456" t="s">
        <v>316</v>
      </c>
      <c r="J50" s="274" t="s">
        <v>477</v>
      </c>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row>
    <row r="51" spans="1:114" hidden="1">
      <c r="A51" s="147"/>
      <c r="B51" s="147"/>
      <c r="C51" s="43" t="s">
        <v>455</v>
      </c>
      <c r="D51" s="43" t="s">
        <v>478</v>
      </c>
      <c r="E51" s="43">
        <v>900</v>
      </c>
      <c r="F51" s="53"/>
      <c r="G51" s="53"/>
      <c r="H51" s="11"/>
      <c r="I51" s="119" t="s">
        <v>479</v>
      </c>
      <c r="J51" s="39">
        <v>1</v>
      </c>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row>
    <row r="52" spans="1:114" hidden="1">
      <c r="A52" s="147"/>
      <c r="B52" s="147"/>
      <c r="C52" s="43" t="s">
        <v>462</v>
      </c>
      <c r="D52" s="43" t="s">
        <v>480</v>
      </c>
      <c r="E52" s="43">
        <v>1200</v>
      </c>
      <c r="F52" s="53"/>
      <c r="G52" s="53"/>
      <c r="H52" s="11"/>
      <c r="I52" s="119" t="s">
        <v>481</v>
      </c>
      <c r="J52" s="39">
        <v>0</v>
      </c>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row>
    <row r="53" spans="1:114" hidden="1">
      <c r="A53" s="147"/>
      <c r="B53" s="147"/>
      <c r="C53" s="43" t="s">
        <v>463</v>
      </c>
      <c r="D53" s="53"/>
      <c r="E53" s="43">
        <v>1800</v>
      </c>
      <c r="F53" s="53"/>
      <c r="G53" s="53"/>
      <c r="H53" s="11"/>
      <c r="I53" s="119" t="s">
        <v>482</v>
      </c>
      <c r="J53" s="39">
        <v>0</v>
      </c>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row>
    <row r="54" spans="1:114" hidden="1">
      <c r="A54" s="147"/>
      <c r="B54" s="147"/>
      <c r="C54" s="43" t="s">
        <v>465</v>
      </c>
      <c r="D54" s="53"/>
      <c r="E54" s="43">
        <v>3600</v>
      </c>
      <c r="F54" s="53"/>
      <c r="G54" s="53"/>
      <c r="H54" s="11"/>
      <c r="I54" s="119" t="s">
        <v>483</v>
      </c>
      <c r="J54" s="39">
        <v>0</v>
      </c>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row>
    <row r="55" spans="1:114" hidden="1">
      <c r="A55" s="147"/>
      <c r="B55" s="147"/>
      <c r="C55" s="43" t="s">
        <v>466</v>
      </c>
      <c r="D55" s="53"/>
      <c r="E55" s="53"/>
      <c r="F55" s="53"/>
      <c r="G55" s="53"/>
      <c r="H55" s="11"/>
      <c r="I55" s="119" t="s">
        <v>243</v>
      </c>
      <c r="J55" s="39">
        <v>1</v>
      </c>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row>
    <row r="56" spans="1:114" hidden="1">
      <c r="A56" s="147"/>
      <c r="B56" s="147"/>
      <c r="C56" s="43" t="s">
        <v>468</v>
      </c>
      <c r="D56" s="11"/>
      <c r="E56" s="11"/>
      <c r="F56" s="11"/>
      <c r="G56" s="11"/>
      <c r="H56" s="11"/>
      <c r="I56" s="119" t="s">
        <v>484</v>
      </c>
      <c r="J56" s="39">
        <v>1</v>
      </c>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row>
    <row r="57" spans="1:114" hidden="1">
      <c r="A57" s="147"/>
      <c r="B57" s="147"/>
      <c r="C57" s="11"/>
      <c r="D57" s="11"/>
      <c r="E57" s="11"/>
      <c r="F57" s="11"/>
      <c r="G57" s="11"/>
      <c r="H57" s="11"/>
      <c r="I57" s="25" t="s">
        <v>485</v>
      </c>
      <c r="J57" s="39">
        <v>1</v>
      </c>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row>
    <row r="58" spans="1:114" hidden="1">
      <c r="A58" s="147"/>
      <c r="B58" s="147"/>
      <c r="C58" s="456" t="s">
        <v>168</v>
      </c>
      <c r="D58" s="11"/>
      <c r="E58" s="11"/>
      <c r="F58" s="11"/>
      <c r="G58" s="11"/>
      <c r="H58" s="11"/>
      <c r="I58" s="25" t="s">
        <v>486</v>
      </c>
      <c r="J58" s="39">
        <v>1</v>
      </c>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row>
    <row r="59" spans="1:114" hidden="1">
      <c r="A59" s="147"/>
      <c r="B59" s="147"/>
      <c r="C59" s="43">
        <v>15</v>
      </c>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row>
    <row r="60" spans="1:114" hidden="1">
      <c r="A60" s="147"/>
      <c r="B60" s="147"/>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row>
    <row r="61" spans="1:114" hidden="1">
      <c r="A61" s="147"/>
      <c r="B61" s="147"/>
      <c r="C61" s="469" t="s">
        <v>487</v>
      </c>
      <c r="D61" s="470" t="s">
        <v>488</v>
      </c>
      <c r="E61" s="471" t="s">
        <v>489</v>
      </c>
      <c r="F61" s="471" t="s">
        <v>490</v>
      </c>
      <c r="G61" s="471" t="s">
        <v>491</v>
      </c>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row>
    <row r="62" spans="1:114" hidden="1">
      <c r="A62" s="147"/>
      <c r="B62" s="147"/>
      <c r="C62" s="472">
        <v>1</v>
      </c>
      <c r="D62" s="472">
        <v>65</v>
      </c>
      <c r="E62" s="472" t="s">
        <v>478</v>
      </c>
      <c r="F62" s="472">
        <v>900</v>
      </c>
      <c r="G62" s="473">
        <v>0.755</v>
      </c>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row>
    <row r="63" spans="1:114" hidden="1">
      <c r="A63" s="147"/>
      <c r="B63" s="147"/>
      <c r="C63" s="472">
        <v>1.5</v>
      </c>
      <c r="D63" s="472">
        <v>65</v>
      </c>
      <c r="E63" s="472" t="s">
        <v>478</v>
      </c>
      <c r="F63" s="472">
        <v>900</v>
      </c>
      <c r="G63" s="473">
        <v>0.78500000000000003</v>
      </c>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row>
    <row r="64" spans="1:114" hidden="1">
      <c r="A64" s="147"/>
      <c r="B64" s="147"/>
      <c r="C64" s="472">
        <v>2</v>
      </c>
      <c r="D64" s="472">
        <v>65</v>
      </c>
      <c r="E64" s="472" t="s">
        <v>478</v>
      </c>
      <c r="F64" s="472">
        <v>900</v>
      </c>
      <c r="G64" s="473">
        <v>0.84</v>
      </c>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row>
    <row r="65" spans="1:112" hidden="1">
      <c r="A65" s="147"/>
      <c r="B65" s="147"/>
      <c r="C65" s="472">
        <v>3</v>
      </c>
      <c r="D65" s="472">
        <v>67</v>
      </c>
      <c r="E65" s="472" t="s">
        <v>478</v>
      </c>
      <c r="F65" s="472">
        <v>900</v>
      </c>
      <c r="G65" s="473">
        <v>0.85499999999999998</v>
      </c>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row>
    <row r="66" spans="1:112" hidden="1">
      <c r="A66" s="147"/>
      <c r="B66" s="147"/>
      <c r="C66" s="472">
        <v>5</v>
      </c>
      <c r="D66" s="472">
        <v>70</v>
      </c>
      <c r="E66" s="472" t="s">
        <v>478</v>
      </c>
      <c r="F66" s="472">
        <v>900</v>
      </c>
      <c r="G66" s="473">
        <v>0.86499999999999999</v>
      </c>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row>
    <row r="67" spans="1:112" hidden="1">
      <c r="A67" s="147"/>
      <c r="B67" s="147"/>
      <c r="C67" s="472">
        <v>7.5</v>
      </c>
      <c r="D67" s="472">
        <v>73</v>
      </c>
      <c r="E67" s="472" t="s">
        <v>478</v>
      </c>
      <c r="F67" s="472">
        <v>900</v>
      </c>
      <c r="G67" s="473">
        <v>0.86499999999999999</v>
      </c>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row>
    <row r="68" spans="1:112" hidden="1">
      <c r="A68" s="147"/>
      <c r="B68" s="147"/>
      <c r="C68" s="472">
        <v>10</v>
      </c>
      <c r="D68" s="472">
        <v>75</v>
      </c>
      <c r="E68" s="472" t="s">
        <v>478</v>
      </c>
      <c r="F68" s="472">
        <v>900</v>
      </c>
      <c r="G68" s="473">
        <v>0.89500000000000002</v>
      </c>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row>
    <row r="69" spans="1:112" hidden="1">
      <c r="A69" s="147"/>
      <c r="B69" s="147"/>
      <c r="C69" s="472">
        <v>15</v>
      </c>
      <c r="D69" s="472">
        <v>77</v>
      </c>
      <c r="E69" s="472" t="s">
        <v>478</v>
      </c>
      <c r="F69" s="472">
        <v>900</v>
      </c>
      <c r="G69" s="473">
        <v>0.89500000000000002</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row>
    <row r="70" spans="1:112" hidden="1">
      <c r="A70" s="147"/>
      <c r="B70" s="147"/>
      <c r="C70" s="472">
        <v>20</v>
      </c>
      <c r="D70" s="472">
        <v>77</v>
      </c>
      <c r="E70" s="472" t="s">
        <v>478</v>
      </c>
      <c r="F70" s="472">
        <v>900</v>
      </c>
      <c r="G70" s="473">
        <v>0.90200000000000002</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row>
    <row r="71" spans="1:112" hidden="1">
      <c r="A71" s="147"/>
      <c r="B71" s="147"/>
      <c r="C71" s="472">
        <v>1</v>
      </c>
      <c r="D71" s="472">
        <v>65</v>
      </c>
      <c r="E71" s="472" t="s">
        <v>478</v>
      </c>
      <c r="F71" s="472">
        <v>1200</v>
      </c>
      <c r="G71" s="473">
        <v>0.82499999999999996</v>
      </c>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row>
    <row r="72" spans="1:112" hidden="1">
      <c r="A72" s="147"/>
      <c r="B72" s="147"/>
      <c r="C72" s="472">
        <v>1.5</v>
      </c>
      <c r="D72" s="472">
        <v>65</v>
      </c>
      <c r="E72" s="472" t="s">
        <v>478</v>
      </c>
      <c r="F72" s="472">
        <v>1200</v>
      </c>
      <c r="G72" s="473">
        <v>0.875</v>
      </c>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row>
    <row r="73" spans="1:112" hidden="1">
      <c r="A73" s="147"/>
      <c r="B73" s="147"/>
      <c r="C73" s="472">
        <v>2</v>
      </c>
      <c r="D73" s="472">
        <v>65</v>
      </c>
      <c r="E73" s="472" t="s">
        <v>478</v>
      </c>
      <c r="F73" s="472">
        <v>1200</v>
      </c>
      <c r="G73" s="473">
        <v>0.88500000000000001</v>
      </c>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row>
    <row r="74" spans="1:112" hidden="1">
      <c r="A74" s="147"/>
      <c r="B74" s="147"/>
      <c r="C74" s="472">
        <v>3</v>
      </c>
      <c r="D74" s="472">
        <v>67</v>
      </c>
      <c r="E74" s="472" t="s">
        <v>478</v>
      </c>
      <c r="F74" s="472">
        <v>1200</v>
      </c>
      <c r="G74" s="473">
        <v>0.89500000000000002</v>
      </c>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row>
    <row r="75" spans="1:112" hidden="1">
      <c r="A75" s="147"/>
      <c r="B75" s="147"/>
      <c r="C75" s="472">
        <v>5</v>
      </c>
      <c r="D75" s="472">
        <v>70</v>
      </c>
      <c r="E75" s="472" t="s">
        <v>478</v>
      </c>
      <c r="F75" s="472">
        <v>1200</v>
      </c>
      <c r="G75" s="473">
        <v>0.89500000000000002</v>
      </c>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row>
    <row r="76" spans="1:112" hidden="1">
      <c r="A76" s="147"/>
      <c r="B76" s="147"/>
      <c r="C76" s="472">
        <v>7.5</v>
      </c>
      <c r="D76" s="472">
        <v>73</v>
      </c>
      <c r="E76" s="472" t="s">
        <v>478</v>
      </c>
      <c r="F76" s="472">
        <v>1200</v>
      </c>
      <c r="G76" s="473">
        <v>0.91</v>
      </c>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row>
    <row r="77" spans="1:112" hidden="1">
      <c r="A77" s="147"/>
      <c r="B77" s="147"/>
      <c r="C77" s="472">
        <v>10</v>
      </c>
      <c r="D77" s="472">
        <v>75</v>
      </c>
      <c r="E77" s="472" t="s">
        <v>478</v>
      </c>
      <c r="F77" s="472">
        <v>1200</v>
      </c>
      <c r="G77" s="473">
        <v>0.91</v>
      </c>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row>
    <row r="78" spans="1:112" hidden="1">
      <c r="A78" s="147"/>
      <c r="B78" s="147"/>
      <c r="C78" s="472">
        <v>15</v>
      </c>
      <c r="D78" s="472">
        <v>77</v>
      </c>
      <c r="E78" s="472" t="s">
        <v>478</v>
      </c>
      <c r="F78" s="472">
        <v>1200</v>
      </c>
      <c r="G78" s="473">
        <v>0.91700000000000004</v>
      </c>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row>
    <row r="79" spans="1:112" hidden="1">
      <c r="A79" s="147"/>
      <c r="B79" s="147"/>
      <c r="C79" s="472">
        <v>20</v>
      </c>
      <c r="D79" s="472">
        <v>77</v>
      </c>
      <c r="E79" s="472" t="s">
        <v>478</v>
      </c>
      <c r="F79" s="472">
        <v>1200</v>
      </c>
      <c r="G79" s="473">
        <v>0.91700000000000004</v>
      </c>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row>
    <row r="80" spans="1:112" hidden="1">
      <c r="A80" s="147"/>
      <c r="B80" s="147"/>
      <c r="C80" s="472">
        <v>1</v>
      </c>
      <c r="D80" s="472">
        <v>65</v>
      </c>
      <c r="E80" s="472" t="s">
        <v>478</v>
      </c>
      <c r="F80" s="472">
        <v>1800</v>
      </c>
      <c r="G80" s="473">
        <v>0.85499999999999998</v>
      </c>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row>
    <row r="81" spans="1:112" hidden="1">
      <c r="A81" s="147"/>
      <c r="B81" s="147"/>
      <c r="C81" s="472">
        <v>1.5</v>
      </c>
      <c r="D81" s="472">
        <v>65</v>
      </c>
      <c r="E81" s="472" t="s">
        <v>478</v>
      </c>
      <c r="F81" s="472">
        <v>1800</v>
      </c>
      <c r="G81" s="473">
        <v>0.86499999999999999</v>
      </c>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row>
    <row r="82" spans="1:112" hidden="1">
      <c r="A82" s="147"/>
      <c r="B82" s="147"/>
      <c r="C82" s="472">
        <v>2</v>
      </c>
      <c r="D82" s="472">
        <v>65</v>
      </c>
      <c r="E82" s="472" t="s">
        <v>478</v>
      </c>
      <c r="F82" s="472">
        <v>1800</v>
      </c>
      <c r="G82" s="473">
        <v>0.86499999999999999</v>
      </c>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row>
    <row r="83" spans="1:112" hidden="1">
      <c r="A83" s="147"/>
      <c r="B83" s="147"/>
      <c r="C83" s="472">
        <v>3</v>
      </c>
      <c r="D83" s="472">
        <v>67</v>
      </c>
      <c r="E83" s="472" t="s">
        <v>478</v>
      </c>
      <c r="F83" s="472">
        <v>1800</v>
      </c>
      <c r="G83" s="473">
        <v>0.89500000000000002</v>
      </c>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row>
    <row r="84" spans="1:112" hidden="1">
      <c r="A84" s="147"/>
      <c r="B84" s="147"/>
      <c r="C84" s="472">
        <v>5</v>
      </c>
      <c r="D84" s="472">
        <v>70</v>
      </c>
      <c r="E84" s="472" t="s">
        <v>478</v>
      </c>
      <c r="F84" s="472">
        <v>1800</v>
      </c>
      <c r="G84" s="473">
        <v>0.89500000000000002</v>
      </c>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row>
    <row r="85" spans="1:112" hidden="1">
      <c r="A85" s="147"/>
      <c r="B85" s="147"/>
      <c r="C85" s="472">
        <v>7.5</v>
      </c>
      <c r="D85" s="472">
        <v>73</v>
      </c>
      <c r="E85" s="472" t="s">
        <v>478</v>
      </c>
      <c r="F85" s="472">
        <v>1800</v>
      </c>
      <c r="G85" s="473">
        <v>0.91700000000000004</v>
      </c>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row>
    <row r="86" spans="1:112" hidden="1">
      <c r="A86" s="147"/>
      <c r="B86" s="147"/>
      <c r="C86" s="472">
        <v>10</v>
      </c>
      <c r="D86" s="472">
        <v>75</v>
      </c>
      <c r="E86" s="472" t="s">
        <v>478</v>
      </c>
      <c r="F86" s="472">
        <v>1800</v>
      </c>
      <c r="G86" s="473">
        <v>0.91700000000000004</v>
      </c>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row>
    <row r="87" spans="1:112" hidden="1">
      <c r="A87" s="147"/>
      <c r="B87" s="147"/>
      <c r="C87" s="472">
        <v>15</v>
      </c>
      <c r="D87" s="472">
        <v>77</v>
      </c>
      <c r="E87" s="472" t="s">
        <v>478</v>
      </c>
      <c r="F87" s="472">
        <v>1800</v>
      </c>
      <c r="G87" s="473">
        <v>0.92400000000000004</v>
      </c>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row>
    <row r="88" spans="1:112" hidden="1">
      <c r="A88" s="147"/>
      <c r="B88" s="147"/>
      <c r="C88" s="472">
        <v>20</v>
      </c>
      <c r="D88" s="472">
        <v>77</v>
      </c>
      <c r="E88" s="472" t="s">
        <v>478</v>
      </c>
      <c r="F88" s="472">
        <v>1800</v>
      </c>
      <c r="G88" s="473">
        <v>0.93</v>
      </c>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row>
    <row r="89" spans="1:112" hidden="1">
      <c r="A89" s="147"/>
      <c r="B89" s="147"/>
      <c r="C89" s="472">
        <v>1</v>
      </c>
      <c r="D89" s="472">
        <v>65</v>
      </c>
      <c r="E89" s="472" t="s">
        <v>478</v>
      </c>
      <c r="F89" s="472">
        <v>3600</v>
      </c>
      <c r="G89" s="473">
        <v>0.77</v>
      </c>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row>
    <row r="90" spans="1:112" hidden="1">
      <c r="A90" s="147"/>
      <c r="B90" s="147"/>
      <c r="C90" s="472">
        <v>1.5</v>
      </c>
      <c r="D90" s="472">
        <v>65</v>
      </c>
      <c r="E90" s="472" t="s">
        <v>478</v>
      </c>
      <c r="F90" s="472">
        <v>3600</v>
      </c>
      <c r="G90" s="473">
        <v>0.84</v>
      </c>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row>
    <row r="91" spans="1:112" hidden="1">
      <c r="A91" s="147"/>
      <c r="B91" s="147"/>
      <c r="C91" s="472">
        <v>2</v>
      </c>
      <c r="D91" s="472">
        <v>65</v>
      </c>
      <c r="E91" s="472" t="s">
        <v>478</v>
      </c>
      <c r="F91" s="472">
        <v>3600</v>
      </c>
      <c r="G91" s="473">
        <v>0.85499999999999998</v>
      </c>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row>
    <row r="92" spans="1:112" hidden="1">
      <c r="A92" s="147"/>
      <c r="B92" s="147"/>
      <c r="C92" s="472">
        <v>3</v>
      </c>
      <c r="D92" s="472">
        <v>67</v>
      </c>
      <c r="E92" s="472" t="s">
        <v>478</v>
      </c>
      <c r="F92" s="472">
        <v>3600</v>
      </c>
      <c r="G92" s="473">
        <v>0.86499999999999999</v>
      </c>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row>
    <row r="93" spans="1:112" hidden="1">
      <c r="A93" s="147"/>
      <c r="B93" s="147"/>
      <c r="C93" s="472">
        <v>5</v>
      </c>
      <c r="D93" s="472">
        <v>70</v>
      </c>
      <c r="E93" s="472" t="s">
        <v>478</v>
      </c>
      <c r="F93" s="472">
        <v>3600</v>
      </c>
      <c r="G93" s="473">
        <v>0.88500000000000001</v>
      </c>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row>
    <row r="94" spans="1:112" hidden="1">
      <c r="A94" s="147"/>
      <c r="B94" s="147"/>
      <c r="C94" s="472">
        <v>7.5</v>
      </c>
      <c r="D94" s="472">
        <v>73</v>
      </c>
      <c r="E94" s="472" t="s">
        <v>478</v>
      </c>
      <c r="F94" s="472">
        <v>3600</v>
      </c>
      <c r="G94" s="473">
        <v>0.89500000000000002</v>
      </c>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row>
    <row r="95" spans="1:112" hidden="1">
      <c r="A95" s="147"/>
      <c r="B95" s="147"/>
      <c r="C95" s="472">
        <v>10</v>
      </c>
      <c r="D95" s="472">
        <v>75</v>
      </c>
      <c r="E95" s="472" t="s">
        <v>478</v>
      </c>
      <c r="F95" s="472">
        <v>3600</v>
      </c>
      <c r="G95" s="473">
        <v>0.90200000000000002</v>
      </c>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row>
    <row r="96" spans="1:112" hidden="1">
      <c r="A96" s="147"/>
      <c r="B96" s="147"/>
      <c r="C96" s="472">
        <v>15</v>
      </c>
      <c r="D96" s="472">
        <v>77</v>
      </c>
      <c r="E96" s="472" t="s">
        <v>478</v>
      </c>
      <c r="F96" s="472">
        <v>3600</v>
      </c>
      <c r="G96" s="473">
        <v>0.91</v>
      </c>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row>
    <row r="97" spans="1:112" hidden="1">
      <c r="A97" s="147"/>
      <c r="B97" s="147"/>
      <c r="C97" s="472">
        <v>20</v>
      </c>
      <c r="D97" s="472">
        <v>77</v>
      </c>
      <c r="E97" s="472" t="s">
        <v>478</v>
      </c>
      <c r="F97" s="472">
        <v>3600</v>
      </c>
      <c r="G97" s="473">
        <v>0.91</v>
      </c>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row>
    <row r="98" spans="1:112" hidden="1">
      <c r="A98" s="147"/>
      <c r="B98" s="147"/>
      <c r="C98" s="472">
        <v>1</v>
      </c>
      <c r="D98" s="472">
        <v>65</v>
      </c>
      <c r="E98" s="474" t="s">
        <v>480</v>
      </c>
      <c r="F98" s="472">
        <v>900</v>
      </c>
      <c r="G98" s="475">
        <v>0.755</v>
      </c>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row>
    <row r="99" spans="1:112" hidden="1">
      <c r="A99" s="147"/>
      <c r="B99" s="147"/>
      <c r="C99" s="472">
        <v>1.5</v>
      </c>
      <c r="D99" s="472">
        <v>65</v>
      </c>
      <c r="E99" s="474" t="s">
        <v>480</v>
      </c>
      <c r="F99" s="472">
        <v>900</v>
      </c>
      <c r="G99" s="475">
        <v>0.77</v>
      </c>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row>
    <row r="100" spans="1:112" hidden="1">
      <c r="A100" s="147"/>
      <c r="B100" s="147"/>
      <c r="C100" s="472">
        <v>2</v>
      </c>
      <c r="D100" s="472">
        <v>65</v>
      </c>
      <c r="E100" s="474" t="s">
        <v>480</v>
      </c>
      <c r="F100" s="472">
        <v>900</v>
      </c>
      <c r="G100" s="475">
        <v>0.86499999999999999</v>
      </c>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row>
    <row r="101" spans="1:112" hidden="1">
      <c r="A101" s="147"/>
      <c r="B101" s="147"/>
      <c r="C101" s="472">
        <v>3</v>
      </c>
      <c r="D101" s="472">
        <v>67</v>
      </c>
      <c r="E101" s="474" t="s">
        <v>480</v>
      </c>
      <c r="F101" s="472">
        <v>900</v>
      </c>
      <c r="G101" s="475">
        <v>0.875</v>
      </c>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row>
    <row r="102" spans="1:112" hidden="1">
      <c r="A102" s="147"/>
      <c r="B102" s="147"/>
      <c r="C102" s="472">
        <v>5</v>
      </c>
      <c r="D102" s="472">
        <v>70</v>
      </c>
      <c r="E102" s="474" t="s">
        <v>480</v>
      </c>
      <c r="F102" s="472">
        <v>900</v>
      </c>
      <c r="G102" s="475">
        <v>0.88500000000000001</v>
      </c>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row>
    <row r="103" spans="1:112" hidden="1">
      <c r="A103" s="147"/>
      <c r="B103" s="147"/>
      <c r="C103" s="472">
        <v>7.5</v>
      </c>
      <c r="D103" s="472">
        <v>73</v>
      </c>
      <c r="E103" s="474" t="s">
        <v>480</v>
      </c>
      <c r="F103" s="472">
        <v>900</v>
      </c>
      <c r="G103" s="475">
        <v>0.89500000000000002</v>
      </c>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row>
    <row r="104" spans="1:112" hidden="1">
      <c r="A104" s="147"/>
      <c r="B104" s="147"/>
      <c r="C104" s="472">
        <v>10</v>
      </c>
      <c r="D104" s="472">
        <v>75</v>
      </c>
      <c r="E104" s="474" t="s">
        <v>480</v>
      </c>
      <c r="F104" s="472">
        <v>900</v>
      </c>
      <c r="G104" s="475">
        <v>0.90200000000000002</v>
      </c>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row>
    <row r="105" spans="1:112" hidden="1">
      <c r="A105" s="147"/>
      <c r="B105" s="147"/>
      <c r="C105" s="472">
        <v>15</v>
      </c>
      <c r="D105" s="472">
        <v>77</v>
      </c>
      <c r="E105" s="474" t="s">
        <v>480</v>
      </c>
      <c r="F105" s="472">
        <v>900</v>
      </c>
      <c r="G105" s="475">
        <v>0.90200000000000002</v>
      </c>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row>
    <row r="106" spans="1:112" hidden="1">
      <c r="A106" s="147"/>
      <c r="B106" s="147"/>
      <c r="C106" s="472">
        <v>20</v>
      </c>
      <c r="D106" s="472">
        <v>77</v>
      </c>
      <c r="E106" s="474" t="s">
        <v>480</v>
      </c>
      <c r="F106" s="472">
        <v>900</v>
      </c>
      <c r="G106" s="475">
        <v>0.91</v>
      </c>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row>
    <row r="107" spans="1:112" hidden="1">
      <c r="A107" s="147"/>
      <c r="B107" s="147"/>
      <c r="C107" s="472">
        <v>1</v>
      </c>
      <c r="D107" s="472">
        <v>65</v>
      </c>
      <c r="E107" s="474" t="s">
        <v>480</v>
      </c>
      <c r="F107" s="474">
        <v>1200</v>
      </c>
      <c r="G107" s="475">
        <v>0.82</v>
      </c>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row>
    <row r="108" spans="1:112" hidden="1">
      <c r="A108" s="147"/>
      <c r="B108" s="147"/>
      <c r="C108" s="472">
        <v>1.5</v>
      </c>
      <c r="D108" s="472">
        <v>65</v>
      </c>
      <c r="E108" s="474" t="s">
        <v>480</v>
      </c>
      <c r="F108" s="474">
        <v>1200</v>
      </c>
      <c r="G108" s="475">
        <v>0.86499999999999999</v>
      </c>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row>
    <row r="109" spans="1:112" hidden="1">
      <c r="A109" s="147"/>
      <c r="B109" s="147"/>
      <c r="C109" s="472">
        <v>2</v>
      </c>
      <c r="D109" s="472">
        <v>65</v>
      </c>
      <c r="E109" s="474" t="s">
        <v>480</v>
      </c>
      <c r="F109" s="474">
        <v>1200</v>
      </c>
      <c r="G109" s="475">
        <v>0.875</v>
      </c>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row>
    <row r="110" spans="1:112" hidden="1">
      <c r="A110" s="147"/>
      <c r="B110" s="147"/>
      <c r="C110" s="472">
        <v>3</v>
      </c>
      <c r="D110" s="472">
        <v>67</v>
      </c>
      <c r="E110" s="474" t="s">
        <v>480</v>
      </c>
      <c r="F110" s="474">
        <v>1200</v>
      </c>
      <c r="G110" s="475">
        <v>0.88500000000000001</v>
      </c>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row>
    <row r="111" spans="1:112" hidden="1">
      <c r="A111" s="147"/>
      <c r="B111" s="147"/>
      <c r="C111" s="472">
        <v>5</v>
      </c>
      <c r="D111" s="472">
        <v>70</v>
      </c>
      <c r="E111" s="474" t="s">
        <v>480</v>
      </c>
      <c r="F111" s="474">
        <v>1200</v>
      </c>
      <c r="G111" s="475">
        <v>0.89500000000000002</v>
      </c>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row>
    <row r="112" spans="1:112" hidden="1">
      <c r="A112" s="147"/>
      <c r="B112" s="147"/>
      <c r="C112" s="472">
        <v>7.5</v>
      </c>
      <c r="D112" s="472">
        <v>73</v>
      </c>
      <c r="E112" s="474" t="s">
        <v>480</v>
      </c>
      <c r="F112" s="474">
        <v>1200</v>
      </c>
      <c r="G112" s="475">
        <v>0.90200000000000002</v>
      </c>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row>
    <row r="113" spans="1:112" hidden="1">
      <c r="A113" s="147"/>
      <c r="B113" s="147"/>
      <c r="C113" s="472">
        <v>10</v>
      </c>
      <c r="D113" s="472">
        <v>75</v>
      </c>
      <c r="E113" s="474" t="s">
        <v>480</v>
      </c>
      <c r="F113" s="474">
        <v>1200</v>
      </c>
      <c r="G113" s="475">
        <v>0.91700000000000004</v>
      </c>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row>
    <row r="114" spans="1:112" hidden="1">
      <c r="A114" s="147"/>
      <c r="B114" s="147"/>
      <c r="C114" s="472">
        <v>15</v>
      </c>
      <c r="D114" s="472">
        <v>77</v>
      </c>
      <c r="E114" s="474" t="s">
        <v>480</v>
      </c>
      <c r="F114" s="474">
        <v>1200</v>
      </c>
      <c r="G114" s="475">
        <v>0.91700000000000004</v>
      </c>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s="11"/>
      <c r="DD114" s="11"/>
      <c r="DE114" s="11"/>
      <c r="DF114" s="11"/>
      <c r="DG114" s="11"/>
      <c r="DH114" s="11"/>
    </row>
    <row r="115" spans="1:112" hidden="1">
      <c r="A115" s="147"/>
      <c r="B115" s="147"/>
      <c r="C115" s="472">
        <v>20</v>
      </c>
      <c r="D115" s="472">
        <v>77</v>
      </c>
      <c r="E115" s="474" t="s">
        <v>480</v>
      </c>
      <c r="F115" s="474">
        <v>1200</v>
      </c>
      <c r="G115" s="475">
        <v>0.92400000000000004</v>
      </c>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s="11"/>
      <c r="DD115" s="11"/>
      <c r="DE115" s="11"/>
      <c r="DF115" s="11"/>
      <c r="DG115" s="11"/>
      <c r="DH115" s="11"/>
    </row>
    <row r="116" spans="1:112" hidden="1">
      <c r="A116" s="147"/>
      <c r="B116" s="147"/>
      <c r="C116" s="472">
        <v>1</v>
      </c>
      <c r="D116" s="472">
        <v>65</v>
      </c>
      <c r="E116" s="474" t="s">
        <v>480</v>
      </c>
      <c r="F116" s="474">
        <v>1800</v>
      </c>
      <c r="G116" s="475">
        <v>0.85499999999999998</v>
      </c>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row>
    <row r="117" spans="1:112" hidden="1">
      <c r="A117" s="147"/>
      <c r="B117" s="147"/>
      <c r="C117" s="472">
        <v>1.5</v>
      </c>
      <c r="D117" s="472">
        <v>65</v>
      </c>
      <c r="E117" s="474" t="s">
        <v>480</v>
      </c>
      <c r="F117" s="474">
        <v>1800</v>
      </c>
      <c r="G117" s="475">
        <v>0.86499999999999999</v>
      </c>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c r="DA117" s="11"/>
      <c r="DB117" s="11"/>
      <c r="DC117" s="11"/>
      <c r="DD117" s="11"/>
      <c r="DE117" s="11"/>
      <c r="DF117" s="11"/>
      <c r="DG117" s="11"/>
      <c r="DH117" s="11"/>
    </row>
    <row r="118" spans="1:112" hidden="1">
      <c r="A118" s="147"/>
      <c r="B118" s="147"/>
      <c r="C118" s="472">
        <v>2</v>
      </c>
      <c r="D118" s="472">
        <v>65</v>
      </c>
      <c r="E118" s="474" t="s">
        <v>480</v>
      </c>
      <c r="F118" s="474">
        <v>1800</v>
      </c>
      <c r="G118" s="475">
        <v>0.86499999999999999</v>
      </c>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row>
    <row r="119" spans="1:112" hidden="1">
      <c r="A119" s="147"/>
      <c r="B119" s="147"/>
      <c r="C119" s="472">
        <v>3</v>
      </c>
      <c r="D119" s="472">
        <v>67</v>
      </c>
      <c r="E119" s="474" t="s">
        <v>480</v>
      </c>
      <c r="F119" s="474">
        <v>1800</v>
      </c>
      <c r="G119" s="475">
        <v>0.89500000000000002</v>
      </c>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row>
    <row r="120" spans="1:112" hidden="1">
      <c r="A120" s="147"/>
      <c r="B120" s="147"/>
      <c r="C120" s="472">
        <v>5</v>
      </c>
      <c r="D120" s="472">
        <v>70</v>
      </c>
      <c r="E120" s="474" t="s">
        <v>480</v>
      </c>
      <c r="F120" s="474">
        <v>1800</v>
      </c>
      <c r="G120" s="475">
        <v>0.89500000000000002</v>
      </c>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1"/>
      <c r="CZ120" s="11"/>
      <c r="DA120" s="11"/>
      <c r="DB120" s="11"/>
      <c r="DC120" s="11"/>
      <c r="DD120" s="11"/>
      <c r="DE120" s="11"/>
      <c r="DF120" s="11"/>
      <c r="DG120" s="11"/>
      <c r="DH120" s="11"/>
    </row>
    <row r="121" spans="1:112" hidden="1">
      <c r="A121" s="147"/>
      <c r="B121" s="147"/>
      <c r="C121" s="472">
        <v>7.5</v>
      </c>
      <c r="D121" s="472">
        <v>73</v>
      </c>
      <c r="E121" s="474" t="s">
        <v>480</v>
      </c>
      <c r="F121" s="474">
        <v>1800</v>
      </c>
      <c r="G121" s="475">
        <v>0.91</v>
      </c>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1"/>
      <c r="CZ121" s="11"/>
      <c r="DA121" s="11"/>
      <c r="DB121" s="11"/>
      <c r="DC121" s="11"/>
      <c r="DD121" s="11"/>
      <c r="DE121" s="11"/>
      <c r="DF121" s="11"/>
      <c r="DG121" s="11"/>
      <c r="DH121" s="11"/>
    </row>
    <row r="122" spans="1:112" hidden="1">
      <c r="A122" s="147"/>
      <c r="B122" s="147"/>
      <c r="C122" s="472">
        <v>10</v>
      </c>
      <c r="D122" s="472">
        <v>75</v>
      </c>
      <c r="E122" s="474" t="s">
        <v>480</v>
      </c>
      <c r="F122" s="474">
        <v>1800</v>
      </c>
      <c r="G122" s="475">
        <v>0.91700000000000004</v>
      </c>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c r="DB122" s="11"/>
      <c r="DC122" s="11"/>
      <c r="DD122" s="11"/>
      <c r="DE122" s="11"/>
      <c r="DF122" s="11"/>
      <c r="DG122" s="11"/>
      <c r="DH122" s="11"/>
    </row>
    <row r="123" spans="1:112" hidden="1">
      <c r="A123" s="147"/>
      <c r="B123" s="147"/>
      <c r="C123" s="472">
        <v>15</v>
      </c>
      <c r="D123" s="472">
        <v>77</v>
      </c>
      <c r="E123" s="474" t="s">
        <v>480</v>
      </c>
      <c r="F123" s="474">
        <v>1800</v>
      </c>
      <c r="G123" s="475">
        <v>0.93</v>
      </c>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row>
    <row r="124" spans="1:112" hidden="1">
      <c r="A124" s="147"/>
      <c r="B124" s="147"/>
      <c r="C124" s="472">
        <v>20</v>
      </c>
      <c r="D124" s="472">
        <v>77</v>
      </c>
      <c r="E124" s="474" t="s">
        <v>480</v>
      </c>
      <c r="F124" s="474">
        <v>1800</v>
      </c>
      <c r="G124" s="475">
        <v>0.93</v>
      </c>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row>
    <row r="125" spans="1:112" hidden="1">
      <c r="A125" s="147"/>
      <c r="B125" s="147"/>
      <c r="C125" s="472">
        <v>1</v>
      </c>
      <c r="D125" s="472">
        <v>65</v>
      </c>
      <c r="E125" s="474" t="s">
        <v>480</v>
      </c>
      <c r="F125" s="474">
        <v>3600</v>
      </c>
      <c r="G125" s="475">
        <v>0.77</v>
      </c>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c r="DB125" s="11"/>
      <c r="DC125" s="11"/>
      <c r="DD125" s="11"/>
      <c r="DE125" s="11"/>
      <c r="DF125" s="11"/>
      <c r="DG125" s="11"/>
      <c r="DH125" s="11"/>
    </row>
    <row r="126" spans="1:112" hidden="1">
      <c r="A126" s="147"/>
      <c r="B126" s="147"/>
      <c r="C126" s="472">
        <v>1.5</v>
      </c>
      <c r="D126" s="472">
        <v>65</v>
      </c>
      <c r="E126" s="474" t="s">
        <v>480</v>
      </c>
      <c r="F126" s="474">
        <v>3600</v>
      </c>
      <c r="G126" s="475">
        <v>0.84</v>
      </c>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row>
    <row r="127" spans="1:112" hidden="1">
      <c r="A127" s="147"/>
      <c r="B127" s="147"/>
      <c r="C127" s="472">
        <v>2</v>
      </c>
      <c r="D127" s="472">
        <v>65</v>
      </c>
      <c r="E127" s="474" t="s">
        <v>480</v>
      </c>
      <c r="F127" s="474">
        <v>3600</v>
      </c>
      <c r="G127" s="475">
        <v>0.85499999999999998</v>
      </c>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row>
    <row r="128" spans="1:112" hidden="1">
      <c r="A128" s="147"/>
      <c r="B128" s="147"/>
      <c r="C128" s="472">
        <v>3</v>
      </c>
      <c r="D128" s="472">
        <v>67</v>
      </c>
      <c r="E128" s="474" t="s">
        <v>480</v>
      </c>
      <c r="F128" s="474">
        <v>3600</v>
      </c>
      <c r="G128" s="475">
        <v>0.85499999999999998</v>
      </c>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row>
    <row r="129" spans="1:112" hidden="1">
      <c r="A129" s="147"/>
      <c r="B129" s="147"/>
      <c r="C129" s="472">
        <v>5</v>
      </c>
      <c r="D129" s="472">
        <v>70</v>
      </c>
      <c r="E129" s="474" t="s">
        <v>480</v>
      </c>
      <c r="F129" s="474">
        <v>3600</v>
      </c>
      <c r="G129" s="475">
        <v>0.86499999999999999</v>
      </c>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c r="DD129" s="11"/>
      <c r="DE129" s="11"/>
      <c r="DF129" s="11"/>
      <c r="DG129" s="11"/>
      <c r="DH129" s="11"/>
    </row>
    <row r="130" spans="1:112" hidden="1">
      <c r="A130" s="147"/>
      <c r="B130" s="147"/>
      <c r="C130" s="472">
        <v>7.5</v>
      </c>
      <c r="D130" s="472">
        <v>73</v>
      </c>
      <c r="E130" s="474" t="s">
        <v>480</v>
      </c>
      <c r="F130" s="474">
        <v>3600</v>
      </c>
      <c r="G130" s="475">
        <v>0.88500000000000001</v>
      </c>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1"/>
      <c r="CZ130" s="11"/>
      <c r="DA130" s="11"/>
      <c r="DB130" s="11"/>
      <c r="DC130" s="11"/>
      <c r="DD130" s="11"/>
      <c r="DE130" s="11"/>
      <c r="DF130" s="11"/>
      <c r="DG130" s="11"/>
      <c r="DH130" s="11"/>
    </row>
    <row r="131" spans="1:112" hidden="1">
      <c r="A131" s="147"/>
      <c r="B131" s="147"/>
      <c r="C131" s="472">
        <v>10</v>
      </c>
      <c r="D131" s="472">
        <v>75</v>
      </c>
      <c r="E131" s="474" t="s">
        <v>480</v>
      </c>
      <c r="F131" s="474">
        <v>3600</v>
      </c>
      <c r="G131" s="475">
        <v>0.89500000000000002</v>
      </c>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row>
    <row r="132" spans="1:112" hidden="1">
      <c r="A132" s="147"/>
      <c r="B132" s="147"/>
      <c r="C132" s="472">
        <v>15</v>
      </c>
      <c r="D132" s="472">
        <v>77</v>
      </c>
      <c r="E132" s="474" t="s">
        <v>480</v>
      </c>
      <c r="F132" s="474">
        <v>3600</v>
      </c>
      <c r="G132" s="475">
        <v>0.90200000000000002</v>
      </c>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1"/>
      <c r="DC132" s="11"/>
      <c r="DD132" s="11"/>
      <c r="DE132" s="11"/>
      <c r="DF132" s="11"/>
      <c r="DG132" s="11"/>
      <c r="DH132" s="11"/>
    </row>
    <row r="133" spans="1:112" hidden="1">
      <c r="A133" s="147"/>
      <c r="B133" s="147"/>
      <c r="C133" s="472">
        <v>20</v>
      </c>
      <c r="D133" s="472">
        <v>77</v>
      </c>
      <c r="E133" s="474" t="s">
        <v>480</v>
      </c>
      <c r="F133" s="474">
        <v>3600</v>
      </c>
      <c r="G133" s="475">
        <v>0.91</v>
      </c>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1"/>
      <c r="CZ133" s="11"/>
      <c r="DA133" s="11"/>
      <c r="DB133" s="11"/>
      <c r="DC133" s="11"/>
      <c r="DD133" s="11"/>
      <c r="DE133" s="11"/>
      <c r="DF133" s="11"/>
      <c r="DG133" s="11"/>
      <c r="DH133" s="11"/>
    </row>
    <row r="134" spans="1:112" hidden="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row>
    <row r="135" spans="1:112" hidden="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row>
    <row r="136" spans="1:112">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row>
    <row r="137" spans="1:112">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row>
    <row r="138" spans="1:112">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1"/>
      <c r="CZ138" s="11"/>
      <c r="DA138" s="11"/>
      <c r="DB138" s="11"/>
      <c r="DC138" s="11"/>
      <c r="DD138" s="11"/>
      <c r="DE138" s="11"/>
      <c r="DF138" s="11"/>
      <c r="DG138" s="11"/>
      <c r="DH138" s="11"/>
    </row>
    <row r="139" spans="1:112">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row>
    <row r="140" spans="1:112">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11"/>
      <c r="CZ140" s="11"/>
      <c r="DA140" s="11"/>
      <c r="DB140" s="11"/>
      <c r="DC140" s="11"/>
      <c r="DD140" s="11"/>
      <c r="DE140" s="11"/>
      <c r="DF140" s="11"/>
      <c r="DG140" s="11"/>
      <c r="DH140" s="11"/>
    </row>
    <row r="141" spans="1:112">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row>
    <row r="142" spans="1:112">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row>
    <row r="143" spans="1:112">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11"/>
      <c r="CZ143" s="11"/>
      <c r="DA143" s="11"/>
      <c r="DB143" s="11"/>
      <c r="DC143" s="11"/>
      <c r="DD143" s="11"/>
      <c r="DE143" s="11"/>
      <c r="DF143" s="11"/>
      <c r="DG143" s="11"/>
      <c r="DH143" s="11"/>
    </row>
    <row r="144" spans="1:112">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row>
    <row r="145" spans="1:112">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row>
    <row r="146" spans="1:112">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row>
    <row r="147" spans="1:112">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row>
    <row r="148" spans="1:112">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row>
    <row r="149" spans="1:112">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row>
    <row r="150" spans="1:112">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row>
    <row r="151" spans="1:112">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row>
    <row r="152" spans="1:112">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row>
    <row r="153" spans="1:112">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row>
    <row r="154" spans="1:112">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row>
    <row r="155" spans="1:112">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row>
    <row r="156" spans="1:112">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row>
    <row r="157" spans="1:112">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row>
    <row r="158" spans="1:112">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row>
    <row r="159" spans="1:112">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row>
    <row r="160" spans="1:112">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row>
    <row r="161" spans="1:112">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1"/>
      <c r="CZ161" s="11"/>
      <c r="DA161" s="11"/>
      <c r="DB161" s="11"/>
      <c r="DC161" s="11"/>
      <c r="DD161" s="11"/>
      <c r="DE161" s="11"/>
      <c r="DF161" s="11"/>
      <c r="DG161" s="11"/>
      <c r="DH161" s="11"/>
    </row>
    <row r="162" spans="1:112">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row>
    <row r="163" spans="1:112">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11"/>
      <c r="CZ163" s="11"/>
      <c r="DA163" s="11"/>
      <c r="DB163" s="11"/>
      <c r="DC163" s="11"/>
      <c r="DD163" s="11"/>
      <c r="DE163" s="11"/>
      <c r="DF163" s="11"/>
      <c r="DG163" s="11"/>
      <c r="DH163" s="11"/>
    </row>
    <row r="164" spans="1:112">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row>
    <row r="165" spans="1:112">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row>
    <row r="166" spans="1:112">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row>
    <row r="167" spans="1:112">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row>
    <row r="168" spans="1:112">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row>
    <row r="169" spans="1:112">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1"/>
      <c r="CZ169" s="11"/>
      <c r="DA169" s="11"/>
      <c r="DB169" s="11"/>
      <c r="DC169" s="11"/>
      <c r="DD169" s="11"/>
      <c r="DE169" s="11"/>
      <c r="DF169" s="11"/>
      <c r="DG169" s="11"/>
      <c r="DH169" s="11"/>
    </row>
    <row r="170" spans="1:112">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row>
    <row r="171" spans="1:112">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row>
    <row r="172" spans="1:112">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row>
    <row r="173" spans="1:112">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row>
    <row r="174" spans="1:112">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row>
    <row r="175" spans="1:112">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row>
    <row r="176" spans="1:112">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row>
    <row r="177" spans="1:112">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row>
    <row r="178" spans="1:112">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row>
    <row r="179" spans="1:112">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row>
    <row r="180" spans="1:112">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row>
    <row r="181" spans="1:112">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row>
    <row r="182" spans="1:112">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row>
    <row r="183" spans="1:112">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row>
    <row r="184" spans="1:112">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row>
    <row r="185" spans="1:112">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row>
    <row r="186" spans="1:112">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1"/>
      <c r="CZ186" s="11"/>
      <c r="DA186" s="11"/>
      <c r="DB186" s="11"/>
      <c r="DC186" s="11"/>
      <c r="DD186" s="11"/>
      <c r="DE186" s="11"/>
      <c r="DF186" s="11"/>
      <c r="DG186" s="11"/>
      <c r="DH186" s="11"/>
    </row>
    <row r="187" spans="1:112">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c r="DB187" s="11"/>
      <c r="DC187" s="11"/>
      <c r="DD187" s="11"/>
      <c r="DE187" s="11"/>
      <c r="DF187" s="11"/>
      <c r="DG187" s="11"/>
      <c r="DH187" s="11"/>
    </row>
    <row r="188" spans="1:112">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F188" s="11"/>
      <c r="CG188" s="11"/>
      <c r="CH188" s="11"/>
      <c r="CI188" s="11"/>
      <c r="CJ188" s="11"/>
      <c r="CK188" s="11"/>
      <c r="CL188" s="11"/>
      <c r="CM188" s="11"/>
      <c r="CN188" s="11"/>
      <c r="CO188" s="11"/>
      <c r="CP188" s="11"/>
      <c r="CQ188" s="11"/>
      <c r="CR188" s="11"/>
      <c r="CS188" s="11"/>
      <c r="CT188" s="11"/>
      <c r="CU188" s="11"/>
      <c r="CV188" s="11"/>
      <c r="CW188" s="11"/>
      <c r="CX188" s="11"/>
      <c r="CY188" s="11"/>
      <c r="CZ188" s="11"/>
      <c r="DA188" s="11"/>
      <c r="DB188" s="11"/>
      <c r="DC188" s="11"/>
      <c r="DD188" s="11"/>
      <c r="DE188" s="11"/>
      <c r="DF188" s="11"/>
      <c r="DG188" s="11"/>
      <c r="DH188" s="11"/>
    </row>
    <row r="189" spans="1:112">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11"/>
      <c r="CZ189" s="11"/>
      <c r="DA189" s="11"/>
      <c r="DB189" s="11"/>
      <c r="DC189" s="11"/>
      <c r="DD189" s="11"/>
      <c r="DE189" s="11"/>
      <c r="DF189" s="11"/>
      <c r="DG189" s="11"/>
      <c r="DH189" s="11"/>
    </row>
    <row r="190" spans="1:112">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row>
    <row r="191" spans="1:112">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1"/>
      <c r="CS191" s="11"/>
      <c r="CT191" s="11"/>
      <c r="CU191" s="11"/>
      <c r="CV191" s="11"/>
      <c r="CW191" s="11"/>
      <c r="CX191" s="11"/>
      <c r="CY191" s="11"/>
      <c r="CZ191" s="11"/>
      <c r="DA191" s="11"/>
      <c r="DB191" s="11"/>
      <c r="DC191" s="11"/>
      <c r="DD191" s="11"/>
      <c r="DE191" s="11"/>
      <c r="DF191" s="11"/>
      <c r="DG191" s="11"/>
      <c r="DH191" s="11"/>
    </row>
    <row r="192" spans="1:112">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c r="CT192" s="11"/>
      <c r="CU192" s="11"/>
      <c r="CV192" s="11"/>
      <c r="CW192" s="11"/>
      <c r="CX192" s="11"/>
      <c r="CY192" s="11"/>
      <c r="CZ192" s="11"/>
      <c r="DA192" s="11"/>
      <c r="DB192" s="11"/>
      <c r="DC192" s="11"/>
      <c r="DD192" s="11"/>
      <c r="DE192" s="11"/>
      <c r="DF192" s="11"/>
      <c r="DG192" s="11"/>
      <c r="DH192" s="11"/>
    </row>
    <row r="193" spans="1:112">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1"/>
      <c r="CS193" s="11"/>
      <c r="CT193" s="11"/>
      <c r="CU193" s="11"/>
      <c r="CV193" s="11"/>
      <c r="CW193" s="11"/>
      <c r="CX193" s="11"/>
      <c r="CY193" s="11"/>
      <c r="CZ193" s="11"/>
      <c r="DA193" s="11"/>
      <c r="DB193" s="11"/>
      <c r="DC193" s="11"/>
      <c r="DD193" s="11"/>
      <c r="DE193" s="11"/>
      <c r="DF193" s="11"/>
      <c r="DG193" s="11"/>
      <c r="DH193" s="11"/>
    </row>
    <row r="194" spans="1:112">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CV194" s="11"/>
      <c r="CW194" s="11"/>
      <c r="CX194" s="11"/>
      <c r="CY194" s="11"/>
      <c r="CZ194" s="11"/>
      <c r="DA194" s="11"/>
      <c r="DB194" s="11"/>
      <c r="DC194" s="11"/>
      <c r="DD194" s="11"/>
      <c r="DE194" s="11"/>
      <c r="DF194" s="11"/>
      <c r="DG194" s="11"/>
      <c r="DH194" s="11"/>
    </row>
    <row r="195" spans="1:112">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F195" s="11"/>
      <c r="CG195" s="11"/>
      <c r="CH195" s="11"/>
      <c r="CI195" s="11"/>
      <c r="CJ195" s="11"/>
      <c r="CK195" s="11"/>
      <c r="CL195" s="11"/>
      <c r="CM195" s="11"/>
      <c r="CN195" s="11"/>
      <c r="CO195" s="11"/>
      <c r="CP195" s="11"/>
      <c r="CQ195" s="11"/>
      <c r="CR195" s="11"/>
      <c r="CS195" s="11"/>
      <c r="CT195" s="11"/>
      <c r="CU195" s="11"/>
      <c r="CV195" s="11"/>
      <c r="CW195" s="11"/>
      <c r="CX195" s="11"/>
      <c r="CY195" s="11"/>
      <c r="CZ195" s="11"/>
      <c r="DA195" s="11"/>
      <c r="DB195" s="11"/>
      <c r="DC195" s="11"/>
      <c r="DD195" s="11"/>
      <c r="DE195" s="11"/>
      <c r="DF195" s="11"/>
      <c r="DG195" s="11"/>
      <c r="DH195" s="11"/>
    </row>
    <row r="196" spans="1:112">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1"/>
      <c r="CS196" s="11"/>
      <c r="CT196" s="11"/>
      <c r="CU196" s="11"/>
      <c r="CV196" s="11"/>
      <c r="CW196" s="11"/>
      <c r="CX196" s="11"/>
      <c r="CY196" s="11"/>
      <c r="CZ196" s="11"/>
      <c r="DA196" s="11"/>
      <c r="DB196" s="11"/>
      <c r="DC196" s="11"/>
      <c r="DD196" s="11"/>
      <c r="DE196" s="11"/>
      <c r="DF196" s="11"/>
      <c r="DG196" s="11"/>
      <c r="DH196" s="11"/>
    </row>
    <row r="197" spans="1:112">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CV197" s="11"/>
      <c r="CW197" s="11"/>
      <c r="CX197" s="11"/>
      <c r="CY197" s="11"/>
      <c r="CZ197" s="11"/>
      <c r="DA197" s="11"/>
      <c r="DB197" s="11"/>
      <c r="DC197" s="11"/>
      <c r="DD197" s="11"/>
      <c r="DE197" s="11"/>
      <c r="DF197" s="11"/>
      <c r="DG197" s="11"/>
      <c r="DH197" s="11"/>
    </row>
    <row r="198" spans="1:112">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row>
    <row r="199" spans="1:112">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c r="CW199" s="11"/>
      <c r="CX199" s="11"/>
      <c r="CY199" s="11"/>
      <c r="CZ199" s="11"/>
      <c r="DA199" s="11"/>
      <c r="DB199" s="11"/>
      <c r="DC199" s="11"/>
      <c r="DD199" s="11"/>
      <c r="DE199" s="11"/>
      <c r="DF199" s="11"/>
      <c r="DG199" s="11"/>
      <c r="DH199" s="11"/>
    </row>
    <row r="200" spans="1:112">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F200" s="11"/>
      <c r="CG200" s="11"/>
      <c r="CH200" s="11"/>
      <c r="CI200" s="11"/>
      <c r="CJ200" s="11"/>
      <c r="CK200" s="11"/>
      <c r="CL200" s="11"/>
      <c r="CM200" s="11"/>
      <c r="CN200" s="11"/>
      <c r="CO200" s="11"/>
      <c r="CP200" s="11"/>
      <c r="CQ200" s="11"/>
      <c r="CR200" s="11"/>
      <c r="CS200" s="11"/>
      <c r="CT200" s="11"/>
      <c r="CU200" s="11"/>
      <c r="CV200" s="11"/>
      <c r="CW200" s="11"/>
      <c r="CX200" s="11"/>
      <c r="CY200" s="11"/>
      <c r="CZ200" s="11"/>
      <c r="DA200" s="11"/>
      <c r="DB200" s="11"/>
      <c r="DC200" s="11"/>
      <c r="DD200" s="11"/>
      <c r="DE200" s="11"/>
      <c r="DF200" s="11"/>
      <c r="DG200" s="11"/>
      <c r="DH200" s="11"/>
    </row>
    <row r="201" spans="1:112">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c r="CE201" s="11"/>
      <c r="CF201" s="11"/>
      <c r="CG201" s="11"/>
      <c r="CH201" s="11"/>
      <c r="CI201" s="11"/>
      <c r="CJ201" s="11"/>
      <c r="CK201" s="11"/>
      <c r="CL201" s="11"/>
      <c r="CM201" s="11"/>
      <c r="CN201" s="11"/>
      <c r="CO201" s="11"/>
      <c r="CP201" s="11"/>
      <c r="CQ201" s="11"/>
      <c r="CR201" s="11"/>
      <c r="CS201" s="11"/>
      <c r="CT201" s="11"/>
      <c r="CU201" s="11"/>
      <c r="CV201" s="11"/>
      <c r="CW201" s="11"/>
      <c r="CX201" s="11"/>
      <c r="CY201" s="11"/>
      <c r="CZ201" s="11"/>
      <c r="DA201" s="11"/>
      <c r="DB201" s="11"/>
      <c r="DC201" s="11"/>
      <c r="DD201" s="11"/>
      <c r="DE201" s="11"/>
      <c r="DF201" s="11"/>
      <c r="DG201" s="11"/>
      <c r="DH201" s="11"/>
    </row>
    <row r="202" spans="1:112">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F202" s="11"/>
      <c r="CG202" s="11"/>
      <c r="CH202" s="11"/>
      <c r="CI202" s="11"/>
      <c r="CJ202" s="11"/>
      <c r="CK202" s="11"/>
      <c r="CL202" s="11"/>
      <c r="CM202" s="11"/>
      <c r="CN202" s="11"/>
      <c r="CO202" s="11"/>
      <c r="CP202" s="11"/>
      <c r="CQ202" s="11"/>
      <c r="CR202" s="11"/>
      <c r="CS202" s="11"/>
      <c r="CT202" s="11"/>
      <c r="CU202" s="11"/>
      <c r="CV202" s="11"/>
      <c r="CW202" s="11"/>
      <c r="CX202" s="11"/>
      <c r="CY202" s="11"/>
      <c r="CZ202" s="11"/>
      <c r="DA202" s="11"/>
      <c r="DB202" s="11"/>
      <c r="DC202" s="11"/>
      <c r="DD202" s="11"/>
      <c r="DE202" s="11"/>
      <c r="DF202" s="11"/>
      <c r="DG202" s="11"/>
      <c r="DH202" s="11"/>
    </row>
    <row r="203" spans="1:112">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F203" s="11"/>
      <c r="CG203" s="11"/>
      <c r="CH203" s="11"/>
      <c r="CI203" s="11"/>
      <c r="CJ203" s="11"/>
      <c r="CK203" s="11"/>
      <c r="CL203" s="11"/>
      <c r="CM203" s="11"/>
      <c r="CN203" s="11"/>
      <c r="CO203" s="11"/>
      <c r="CP203" s="11"/>
      <c r="CQ203" s="11"/>
      <c r="CR203" s="11"/>
      <c r="CS203" s="11"/>
      <c r="CT203" s="11"/>
      <c r="CU203" s="11"/>
      <c r="CV203" s="11"/>
      <c r="CW203" s="11"/>
      <c r="CX203" s="11"/>
      <c r="CY203" s="11"/>
      <c r="CZ203" s="11"/>
      <c r="DA203" s="11"/>
      <c r="DB203" s="11"/>
      <c r="DC203" s="11"/>
      <c r="DD203" s="11"/>
      <c r="DE203" s="11"/>
      <c r="DF203" s="11"/>
      <c r="DG203" s="11"/>
      <c r="DH203" s="11"/>
    </row>
    <row r="204" spans="1:112">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c r="CW204" s="11"/>
      <c r="CX204" s="11"/>
      <c r="CY204" s="11"/>
      <c r="CZ204" s="11"/>
      <c r="DA204" s="11"/>
      <c r="DB204" s="11"/>
      <c r="DC204" s="11"/>
      <c r="DD204" s="11"/>
      <c r="DE204" s="11"/>
      <c r="DF204" s="11"/>
      <c r="DG204" s="11"/>
      <c r="DH204" s="11"/>
    </row>
    <row r="205" spans="1:112">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c r="DB205" s="11"/>
      <c r="DC205" s="11"/>
      <c r="DD205" s="11"/>
      <c r="DE205" s="11"/>
      <c r="DF205" s="11"/>
      <c r="DG205" s="11"/>
      <c r="DH205" s="11"/>
    </row>
    <row r="206" spans="1:112">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row>
    <row r="207" spans="1:112">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1"/>
      <c r="CN207" s="11"/>
      <c r="CO207" s="11"/>
      <c r="CP207" s="11"/>
      <c r="CQ207" s="11"/>
      <c r="CR207" s="11"/>
      <c r="CS207" s="11"/>
      <c r="CT207" s="11"/>
      <c r="CU207" s="11"/>
      <c r="CV207" s="11"/>
      <c r="CW207" s="11"/>
      <c r="CX207" s="11"/>
      <c r="CY207" s="11"/>
      <c r="CZ207" s="11"/>
      <c r="DA207" s="11"/>
      <c r="DB207" s="11"/>
      <c r="DC207" s="11"/>
      <c r="DD207" s="11"/>
      <c r="DE207" s="11"/>
      <c r="DF207" s="11"/>
      <c r="DG207" s="11"/>
      <c r="DH207" s="11"/>
    </row>
    <row r="208" spans="1:112">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1"/>
      <c r="CN208" s="11"/>
      <c r="CO208" s="11"/>
      <c r="CP208" s="11"/>
      <c r="CQ208" s="11"/>
      <c r="CR208" s="11"/>
      <c r="CS208" s="11"/>
      <c r="CT208" s="11"/>
      <c r="CU208" s="11"/>
      <c r="CV208" s="11"/>
      <c r="CW208" s="11"/>
      <c r="CX208" s="11"/>
      <c r="CY208" s="11"/>
      <c r="CZ208" s="11"/>
      <c r="DA208" s="11"/>
      <c r="DB208" s="11"/>
      <c r="DC208" s="11"/>
      <c r="DD208" s="11"/>
      <c r="DE208" s="11"/>
      <c r="DF208" s="11"/>
      <c r="DG208" s="11"/>
      <c r="DH208" s="11"/>
    </row>
    <row r="209" spans="1:112">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CV209" s="11"/>
      <c r="CW209" s="11"/>
      <c r="CX209" s="11"/>
      <c r="CY209" s="11"/>
      <c r="CZ209" s="11"/>
      <c r="DA209" s="11"/>
      <c r="DB209" s="11"/>
      <c r="DC209" s="11"/>
      <c r="DD209" s="11"/>
      <c r="DE209" s="11"/>
      <c r="DF209" s="11"/>
      <c r="DG209" s="11"/>
      <c r="DH209" s="11"/>
    </row>
    <row r="210" spans="1:112">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F210" s="11"/>
      <c r="CG210" s="11"/>
      <c r="CH210" s="11"/>
      <c r="CI210" s="11"/>
      <c r="CJ210" s="11"/>
      <c r="CK210" s="11"/>
      <c r="CL210" s="11"/>
      <c r="CM210" s="11"/>
      <c r="CN210" s="11"/>
      <c r="CO210" s="11"/>
      <c r="CP210" s="11"/>
      <c r="CQ210" s="11"/>
      <c r="CR210" s="11"/>
      <c r="CS210" s="11"/>
      <c r="CT210" s="11"/>
      <c r="CU210" s="11"/>
      <c r="CV210" s="11"/>
      <c r="CW210" s="11"/>
      <c r="CX210" s="11"/>
      <c r="CY210" s="11"/>
      <c r="CZ210" s="11"/>
      <c r="DA210" s="11"/>
      <c r="DB210" s="11"/>
      <c r="DC210" s="11"/>
      <c r="DD210" s="11"/>
      <c r="DE210" s="11"/>
      <c r="DF210" s="11"/>
      <c r="DG210" s="11"/>
      <c r="DH210" s="11"/>
    </row>
    <row r="211" spans="1:112">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1"/>
      <c r="CR211" s="11"/>
      <c r="CS211" s="11"/>
      <c r="CT211" s="11"/>
      <c r="CU211" s="11"/>
      <c r="CV211" s="11"/>
      <c r="CW211" s="11"/>
      <c r="CX211" s="11"/>
      <c r="CY211" s="11"/>
      <c r="CZ211" s="11"/>
      <c r="DA211" s="11"/>
      <c r="DB211" s="11"/>
      <c r="DC211" s="11"/>
      <c r="DD211" s="11"/>
      <c r="DE211" s="11"/>
      <c r="DF211" s="11"/>
      <c r="DG211" s="11"/>
      <c r="DH211" s="11"/>
    </row>
    <row r="212" spans="1:11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F212" s="11"/>
      <c r="CG212" s="11"/>
      <c r="CH212" s="11"/>
      <c r="CI212" s="11"/>
      <c r="CJ212" s="11"/>
      <c r="CK212" s="11"/>
      <c r="CL212" s="11"/>
      <c r="CM212" s="11"/>
      <c r="CN212" s="11"/>
      <c r="CO212" s="11"/>
      <c r="CP212" s="11"/>
      <c r="CQ212" s="11"/>
      <c r="CR212" s="11"/>
      <c r="CS212" s="11"/>
      <c r="CT212" s="11"/>
      <c r="CU212" s="11"/>
      <c r="CV212" s="11"/>
      <c r="CW212" s="11"/>
      <c r="CX212" s="11"/>
      <c r="CY212" s="11"/>
      <c r="CZ212" s="11"/>
      <c r="DA212" s="11"/>
      <c r="DB212" s="11"/>
      <c r="DC212" s="11"/>
      <c r="DD212" s="11"/>
      <c r="DE212" s="11"/>
      <c r="DF212" s="11"/>
      <c r="DG212" s="11"/>
      <c r="DH212" s="11"/>
    </row>
    <row r="213" spans="1:112">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row>
    <row r="214" spans="1:112">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row>
    <row r="215" spans="1:112">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CV215" s="11"/>
      <c r="CW215" s="11"/>
      <c r="CX215" s="11"/>
      <c r="CY215" s="11"/>
      <c r="CZ215" s="11"/>
      <c r="DA215" s="11"/>
      <c r="DB215" s="11"/>
      <c r="DC215" s="11"/>
      <c r="DD215" s="11"/>
      <c r="DE215" s="11"/>
      <c r="DF215" s="11"/>
      <c r="DG215" s="11"/>
      <c r="DH215" s="11"/>
    </row>
    <row r="216" spans="1:112">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CV216" s="11"/>
      <c r="CW216" s="11"/>
      <c r="CX216" s="11"/>
      <c r="CY216" s="11"/>
      <c r="CZ216" s="11"/>
      <c r="DA216" s="11"/>
      <c r="DB216" s="11"/>
      <c r="DC216" s="11"/>
      <c r="DD216" s="11"/>
      <c r="DE216" s="11"/>
      <c r="DF216" s="11"/>
      <c r="DG216" s="11"/>
      <c r="DH216" s="11"/>
    </row>
    <row r="217" spans="1:112">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c r="DD217" s="11"/>
      <c r="DE217" s="11"/>
      <c r="DF217" s="11"/>
      <c r="DG217" s="11"/>
      <c r="DH217" s="11"/>
    </row>
    <row r="218" spans="1:112">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CV218" s="11"/>
      <c r="CW218" s="11"/>
      <c r="CX218" s="11"/>
      <c r="CY218" s="11"/>
      <c r="CZ218" s="11"/>
      <c r="DA218" s="11"/>
      <c r="DB218" s="11"/>
      <c r="DC218" s="11"/>
      <c r="DD218" s="11"/>
      <c r="DE218" s="11"/>
      <c r="DF218" s="11"/>
      <c r="DG218" s="11"/>
      <c r="DH218" s="11"/>
    </row>
    <row r="219" spans="1:112">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c r="DD219" s="11"/>
      <c r="DE219" s="11"/>
      <c r="DF219" s="11"/>
      <c r="DG219" s="11"/>
      <c r="DH219" s="11"/>
    </row>
    <row r="220" spans="1:112">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c r="DD220" s="11"/>
      <c r="DE220" s="11"/>
      <c r="DF220" s="11"/>
      <c r="DG220" s="11"/>
      <c r="DH220" s="11"/>
    </row>
    <row r="221" spans="1:112">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c r="DD221" s="11"/>
      <c r="DE221" s="11"/>
      <c r="DF221" s="11"/>
      <c r="DG221" s="11"/>
      <c r="DH221" s="11"/>
    </row>
    <row r="222" spans="1:112">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row>
    <row r="223" spans="1:112">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row>
    <row r="224" spans="1:112">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row>
    <row r="225" spans="1:112">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row>
    <row r="226" spans="1:112">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row>
    <row r="227" spans="1:112">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c r="DD227" s="11"/>
      <c r="DE227" s="11"/>
      <c r="DF227" s="11"/>
      <c r="DG227" s="11"/>
      <c r="DH227" s="11"/>
    </row>
    <row r="228" spans="1:112">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row>
    <row r="229" spans="1:112">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c r="CW229" s="11"/>
      <c r="CX229" s="11"/>
      <c r="CY229" s="11"/>
      <c r="CZ229" s="11"/>
      <c r="DA229" s="11"/>
      <c r="DB229" s="11"/>
      <c r="DC229" s="11"/>
      <c r="DD229" s="11"/>
      <c r="DE229" s="11"/>
      <c r="DF229" s="11"/>
      <c r="DG229" s="11"/>
      <c r="DH229" s="11"/>
    </row>
    <row r="230" spans="1:112">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row>
    <row r="231" spans="1:112">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1"/>
      <c r="CS231" s="11"/>
      <c r="CT231" s="11"/>
      <c r="CU231" s="11"/>
      <c r="CV231" s="11"/>
      <c r="CW231" s="11"/>
      <c r="CX231" s="11"/>
      <c r="CY231" s="11"/>
      <c r="CZ231" s="11"/>
      <c r="DA231" s="11"/>
      <c r="DB231" s="11"/>
      <c r="DC231" s="11"/>
      <c r="DD231" s="11"/>
      <c r="DE231" s="11"/>
      <c r="DF231" s="11"/>
      <c r="DG231" s="11"/>
      <c r="DH231" s="11"/>
    </row>
    <row r="232" spans="1:112">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1"/>
      <c r="CS232" s="11"/>
      <c r="CT232" s="11"/>
      <c r="CU232" s="11"/>
      <c r="CV232" s="11"/>
      <c r="CW232" s="11"/>
      <c r="CX232" s="11"/>
      <c r="CY232" s="11"/>
      <c r="CZ232" s="11"/>
      <c r="DA232" s="11"/>
      <c r="DB232" s="11"/>
      <c r="DC232" s="11"/>
      <c r="DD232" s="11"/>
      <c r="DE232" s="11"/>
      <c r="DF232" s="11"/>
      <c r="DG232" s="11"/>
      <c r="DH232" s="11"/>
    </row>
    <row r="233" spans="1:112">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1"/>
      <c r="CN233" s="11"/>
      <c r="CO233" s="11"/>
      <c r="CP233" s="11"/>
      <c r="CQ233" s="11"/>
      <c r="CR233" s="11"/>
      <c r="CS233" s="11"/>
      <c r="CT233" s="11"/>
      <c r="CU233" s="11"/>
      <c r="CV233" s="11"/>
      <c r="CW233" s="11"/>
      <c r="CX233" s="11"/>
      <c r="CY233" s="11"/>
      <c r="CZ233" s="11"/>
      <c r="DA233" s="11"/>
      <c r="DB233" s="11"/>
      <c r="DC233" s="11"/>
      <c r="DD233" s="11"/>
      <c r="DE233" s="11"/>
      <c r="DF233" s="11"/>
      <c r="DG233" s="11"/>
      <c r="DH233" s="11"/>
    </row>
    <row r="234" spans="1:112">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1"/>
      <c r="CN234" s="11"/>
      <c r="CO234" s="11"/>
      <c r="CP234" s="11"/>
      <c r="CQ234" s="11"/>
      <c r="CR234" s="11"/>
      <c r="CS234" s="11"/>
      <c r="CT234" s="11"/>
      <c r="CU234" s="11"/>
      <c r="CV234" s="11"/>
      <c r="CW234" s="11"/>
      <c r="CX234" s="11"/>
      <c r="CY234" s="11"/>
      <c r="CZ234" s="11"/>
      <c r="DA234" s="11"/>
      <c r="DB234" s="11"/>
      <c r="DC234" s="11"/>
      <c r="DD234" s="11"/>
      <c r="DE234" s="11"/>
      <c r="DF234" s="11"/>
      <c r="DG234" s="11"/>
      <c r="DH234" s="11"/>
    </row>
    <row r="235" spans="1:112">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1"/>
      <c r="CN235" s="11"/>
      <c r="CO235" s="11"/>
      <c r="CP235" s="11"/>
      <c r="CQ235" s="11"/>
      <c r="CR235" s="11"/>
      <c r="CS235" s="11"/>
      <c r="CT235" s="11"/>
      <c r="CU235" s="11"/>
      <c r="CV235" s="11"/>
      <c r="CW235" s="11"/>
      <c r="CX235" s="11"/>
      <c r="CY235" s="11"/>
      <c r="CZ235" s="11"/>
      <c r="DA235" s="11"/>
      <c r="DB235" s="11"/>
      <c r="DC235" s="11"/>
      <c r="DD235" s="11"/>
      <c r="DE235" s="11"/>
      <c r="DF235" s="11"/>
      <c r="DG235" s="11"/>
      <c r="DH235" s="11"/>
    </row>
    <row r="236" spans="1:112">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1"/>
      <c r="CN236" s="11"/>
      <c r="CO236" s="11"/>
      <c r="CP236" s="11"/>
      <c r="CQ236" s="11"/>
      <c r="CR236" s="11"/>
      <c r="CS236" s="11"/>
      <c r="CT236" s="11"/>
      <c r="CU236" s="11"/>
      <c r="CV236" s="11"/>
      <c r="CW236" s="11"/>
      <c r="CX236" s="11"/>
      <c r="CY236" s="11"/>
      <c r="CZ236" s="11"/>
      <c r="DA236" s="11"/>
      <c r="DB236" s="11"/>
      <c r="DC236" s="11"/>
      <c r="DD236" s="11"/>
      <c r="DE236" s="11"/>
      <c r="DF236" s="11"/>
      <c r="DG236" s="11"/>
      <c r="DH236" s="11"/>
    </row>
    <row r="237" spans="1:112">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1"/>
      <c r="CN237" s="11"/>
      <c r="CO237" s="11"/>
      <c r="CP237" s="11"/>
      <c r="CQ237" s="11"/>
      <c r="CR237" s="11"/>
      <c r="CS237" s="11"/>
      <c r="CT237" s="11"/>
      <c r="CU237" s="11"/>
      <c r="CV237" s="11"/>
      <c r="CW237" s="11"/>
      <c r="CX237" s="11"/>
      <c r="CY237" s="11"/>
      <c r="CZ237" s="11"/>
      <c r="DA237" s="11"/>
      <c r="DB237" s="11"/>
      <c r="DC237" s="11"/>
      <c r="DD237" s="11"/>
      <c r="DE237" s="11"/>
      <c r="DF237" s="11"/>
      <c r="DG237" s="11"/>
      <c r="DH237" s="11"/>
    </row>
    <row r="238" spans="1:112">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row>
    <row r="239" spans="1:112">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1"/>
      <c r="CN239" s="11"/>
      <c r="CO239" s="11"/>
      <c r="CP239" s="11"/>
      <c r="CQ239" s="11"/>
      <c r="CR239" s="11"/>
      <c r="CS239" s="11"/>
      <c r="CT239" s="11"/>
      <c r="CU239" s="11"/>
      <c r="CV239" s="11"/>
      <c r="CW239" s="11"/>
      <c r="CX239" s="11"/>
      <c r="CY239" s="11"/>
      <c r="CZ239" s="11"/>
      <c r="DA239" s="11"/>
      <c r="DB239" s="11"/>
      <c r="DC239" s="11"/>
      <c r="DD239" s="11"/>
      <c r="DE239" s="11"/>
      <c r="DF239" s="11"/>
      <c r="DG239" s="11"/>
      <c r="DH239" s="11"/>
    </row>
    <row r="240" spans="1:112">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1"/>
      <c r="CN240" s="11"/>
      <c r="CO240" s="11"/>
      <c r="CP240" s="11"/>
      <c r="CQ240" s="11"/>
      <c r="CR240" s="11"/>
      <c r="CS240" s="11"/>
      <c r="CT240" s="11"/>
      <c r="CU240" s="11"/>
      <c r="CV240" s="11"/>
      <c r="CW240" s="11"/>
      <c r="CX240" s="11"/>
      <c r="CY240" s="11"/>
      <c r="CZ240" s="11"/>
      <c r="DA240" s="11"/>
      <c r="DB240" s="11"/>
      <c r="DC240" s="11"/>
      <c r="DD240" s="11"/>
      <c r="DE240" s="11"/>
      <c r="DF240" s="11"/>
      <c r="DG240" s="11"/>
      <c r="DH240" s="11"/>
    </row>
    <row r="241" spans="1:112">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row>
    <row r="242" spans="1:112">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1"/>
      <c r="CN242" s="11"/>
      <c r="CO242" s="11"/>
      <c r="CP242" s="11"/>
      <c r="CQ242" s="11"/>
      <c r="CR242" s="11"/>
      <c r="CS242" s="11"/>
      <c r="CT242" s="11"/>
      <c r="CU242" s="11"/>
      <c r="CV242" s="11"/>
      <c r="CW242" s="11"/>
      <c r="CX242" s="11"/>
      <c r="CY242" s="11"/>
      <c r="CZ242" s="11"/>
      <c r="DA242" s="11"/>
      <c r="DB242" s="11"/>
      <c r="DC242" s="11"/>
      <c r="DD242" s="11"/>
      <c r="DE242" s="11"/>
      <c r="DF242" s="11"/>
      <c r="DG242" s="11"/>
      <c r="DH242" s="11"/>
    </row>
    <row r="243" spans="1:112">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1"/>
      <c r="CS243" s="11"/>
      <c r="CT243" s="11"/>
      <c r="CU243" s="11"/>
      <c r="CV243" s="11"/>
      <c r="CW243" s="11"/>
      <c r="CX243" s="11"/>
      <c r="CY243" s="11"/>
      <c r="CZ243" s="11"/>
      <c r="DA243" s="11"/>
      <c r="DB243" s="11"/>
      <c r="DC243" s="11"/>
      <c r="DD243" s="11"/>
      <c r="DE243" s="11"/>
      <c r="DF243" s="11"/>
      <c r="DG243" s="11"/>
      <c r="DH243" s="11"/>
    </row>
    <row r="244" spans="1:112">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1"/>
      <c r="CS244" s="11"/>
      <c r="CT244" s="11"/>
      <c r="CU244" s="11"/>
      <c r="CV244" s="11"/>
      <c r="CW244" s="11"/>
      <c r="CX244" s="11"/>
      <c r="CY244" s="11"/>
      <c r="CZ244" s="11"/>
      <c r="DA244" s="11"/>
      <c r="DB244" s="11"/>
      <c r="DC244" s="11"/>
      <c r="DD244" s="11"/>
      <c r="DE244" s="11"/>
      <c r="DF244" s="11"/>
      <c r="DG244" s="11"/>
      <c r="DH244" s="11"/>
    </row>
    <row r="245" spans="1:112">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1"/>
      <c r="CS245" s="11"/>
      <c r="CT245" s="11"/>
      <c r="CU245" s="11"/>
      <c r="CV245" s="11"/>
      <c r="CW245" s="11"/>
      <c r="CX245" s="11"/>
      <c r="CY245" s="11"/>
      <c r="CZ245" s="11"/>
      <c r="DA245" s="11"/>
      <c r="DB245" s="11"/>
      <c r="DC245" s="11"/>
      <c r="DD245" s="11"/>
      <c r="DE245" s="11"/>
      <c r="DF245" s="11"/>
      <c r="DG245" s="11"/>
      <c r="DH245" s="11"/>
    </row>
    <row r="246" spans="1:112">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row>
    <row r="247" spans="1:112">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1"/>
      <c r="CS247" s="11"/>
      <c r="CT247" s="11"/>
      <c r="CU247" s="11"/>
      <c r="CV247" s="11"/>
      <c r="CW247" s="11"/>
      <c r="CX247" s="11"/>
      <c r="CY247" s="11"/>
      <c r="CZ247" s="11"/>
      <c r="DA247" s="11"/>
      <c r="DB247" s="11"/>
      <c r="DC247" s="11"/>
      <c r="DD247" s="11"/>
      <c r="DE247" s="11"/>
      <c r="DF247" s="11"/>
      <c r="DG247" s="11"/>
      <c r="DH247" s="11"/>
    </row>
    <row r="248" spans="1:112">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1"/>
      <c r="CN248" s="11"/>
      <c r="CO248" s="11"/>
      <c r="CP248" s="11"/>
      <c r="CQ248" s="11"/>
      <c r="CR248" s="11"/>
      <c r="CS248" s="11"/>
      <c r="CT248" s="11"/>
      <c r="CU248" s="11"/>
      <c r="CV248" s="11"/>
      <c r="CW248" s="11"/>
      <c r="CX248" s="11"/>
      <c r="CY248" s="11"/>
      <c r="CZ248" s="11"/>
      <c r="DA248" s="11"/>
      <c r="DB248" s="11"/>
      <c r="DC248" s="11"/>
      <c r="DD248" s="11"/>
      <c r="DE248" s="11"/>
      <c r="DF248" s="11"/>
      <c r="DG248" s="11"/>
      <c r="DH248" s="11"/>
    </row>
    <row r="249" spans="1:112">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1"/>
      <c r="CN249" s="11"/>
      <c r="CO249" s="11"/>
      <c r="CP249" s="11"/>
      <c r="CQ249" s="11"/>
      <c r="CR249" s="11"/>
      <c r="CS249" s="11"/>
      <c r="CT249" s="11"/>
      <c r="CU249" s="11"/>
      <c r="CV249" s="11"/>
      <c r="CW249" s="11"/>
      <c r="CX249" s="11"/>
      <c r="CY249" s="11"/>
      <c r="CZ249" s="11"/>
      <c r="DA249" s="11"/>
      <c r="DB249" s="11"/>
      <c r="DC249" s="11"/>
      <c r="DD249" s="11"/>
      <c r="DE249" s="11"/>
      <c r="DF249" s="11"/>
      <c r="DG249" s="11"/>
      <c r="DH249" s="11"/>
    </row>
    <row r="250" spans="1:112">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1"/>
      <c r="CN250" s="11"/>
      <c r="CO250" s="11"/>
      <c r="CP250" s="11"/>
      <c r="CQ250" s="11"/>
      <c r="CR250" s="11"/>
      <c r="CS250" s="11"/>
      <c r="CT250" s="11"/>
      <c r="CU250" s="11"/>
      <c r="CV250" s="11"/>
      <c r="CW250" s="11"/>
      <c r="CX250" s="11"/>
      <c r="CY250" s="11"/>
      <c r="CZ250" s="11"/>
      <c r="DA250" s="11"/>
      <c r="DB250" s="11"/>
      <c r="DC250" s="11"/>
      <c r="DD250" s="11"/>
      <c r="DE250" s="11"/>
      <c r="DF250" s="11"/>
      <c r="DG250" s="11"/>
      <c r="DH250" s="11"/>
    </row>
    <row r="251" spans="1:112">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1"/>
      <c r="CN251" s="11"/>
      <c r="CO251" s="11"/>
      <c r="CP251" s="11"/>
      <c r="CQ251" s="11"/>
      <c r="CR251" s="11"/>
      <c r="CS251" s="11"/>
      <c r="CT251" s="11"/>
      <c r="CU251" s="11"/>
      <c r="CV251" s="11"/>
      <c r="CW251" s="11"/>
      <c r="CX251" s="11"/>
      <c r="CY251" s="11"/>
      <c r="CZ251" s="11"/>
      <c r="DA251" s="11"/>
      <c r="DB251" s="11"/>
      <c r="DC251" s="11"/>
      <c r="DD251" s="11"/>
      <c r="DE251" s="11"/>
      <c r="DF251" s="11"/>
      <c r="DG251" s="11"/>
      <c r="DH251" s="11"/>
    </row>
    <row r="252" spans="1:112">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1"/>
      <c r="CN252" s="11"/>
      <c r="CO252" s="11"/>
      <c r="CP252" s="11"/>
      <c r="CQ252" s="11"/>
      <c r="CR252" s="11"/>
      <c r="CS252" s="11"/>
      <c r="CT252" s="11"/>
      <c r="CU252" s="11"/>
      <c r="CV252" s="11"/>
      <c r="CW252" s="11"/>
      <c r="CX252" s="11"/>
      <c r="CY252" s="11"/>
      <c r="CZ252" s="11"/>
      <c r="DA252" s="11"/>
      <c r="DB252" s="11"/>
      <c r="DC252" s="11"/>
      <c r="DD252" s="11"/>
      <c r="DE252" s="11"/>
      <c r="DF252" s="11"/>
      <c r="DG252" s="11"/>
      <c r="DH252" s="11"/>
    </row>
    <row r="253" spans="1:112">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1"/>
      <c r="CN253" s="11"/>
      <c r="CO253" s="11"/>
      <c r="CP253" s="11"/>
      <c r="CQ253" s="11"/>
      <c r="CR253" s="11"/>
      <c r="CS253" s="11"/>
      <c r="CT253" s="11"/>
      <c r="CU253" s="11"/>
      <c r="CV253" s="11"/>
      <c r="CW253" s="11"/>
      <c r="CX253" s="11"/>
      <c r="CY253" s="11"/>
      <c r="CZ253" s="11"/>
      <c r="DA253" s="11"/>
      <c r="DB253" s="11"/>
      <c r="DC253" s="11"/>
      <c r="DD253" s="11"/>
      <c r="DE253" s="11"/>
      <c r="DF253" s="11"/>
      <c r="DG253" s="11"/>
      <c r="DH253" s="11"/>
    </row>
    <row r="254" spans="1:112">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CV254" s="11"/>
      <c r="CW254" s="11"/>
      <c r="CX254" s="11"/>
      <c r="CY254" s="11"/>
      <c r="CZ254" s="11"/>
      <c r="DA254" s="11"/>
      <c r="DB254" s="11"/>
      <c r="DC254" s="11"/>
      <c r="DD254" s="11"/>
      <c r="DE254" s="11"/>
      <c r="DF254" s="11"/>
      <c r="DG254" s="11"/>
      <c r="DH254" s="11"/>
    </row>
    <row r="255" spans="1:112">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D255" s="11"/>
      <c r="CE255" s="11"/>
      <c r="CF255" s="11"/>
      <c r="CG255" s="11"/>
      <c r="CH255" s="11"/>
      <c r="CI255" s="11"/>
      <c r="CJ255" s="11"/>
      <c r="CK255" s="11"/>
      <c r="CL255" s="11"/>
      <c r="CM255" s="11"/>
      <c r="CN255" s="11"/>
      <c r="CO255" s="11"/>
      <c r="CP255" s="11"/>
      <c r="CQ255" s="11"/>
      <c r="CR255" s="11"/>
      <c r="CS255" s="11"/>
      <c r="CT255" s="11"/>
      <c r="CU255" s="11"/>
      <c r="CV255" s="11"/>
      <c r="CW255" s="11"/>
      <c r="CX255" s="11"/>
      <c r="CY255" s="11"/>
      <c r="CZ255" s="11"/>
      <c r="DA255" s="11"/>
      <c r="DB255" s="11"/>
      <c r="DC255" s="11"/>
      <c r="DD255" s="11"/>
      <c r="DE255" s="11"/>
      <c r="DF255" s="11"/>
      <c r="DG255" s="11"/>
      <c r="DH255" s="11"/>
    </row>
    <row r="256" spans="1:112">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1"/>
      <c r="CS256" s="11"/>
      <c r="CT256" s="11"/>
      <c r="CU256" s="11"/>
      <c r="CV256" s="11"/>
      <c r="CW256" s="11"/>
      <c r="CX256" s="11"/>
      <c r="CY256" s="11"/>
      <c r="CZ256" s="11"/>
      <c r="DA256" s="11"/>
      <c r="DB256" s="11"/>
      <c r="DC256" s="11"/>
      <c r="DD256" s="11"/>
      <c r="DE256" s="11"/>
      <c r="DF256" s="11"/>
      <c r="DG256" s="11"/>
      <c r="DH256" s="11"/>
    </row>
    <row r="257" spans="1:112">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D257" s="11"/>
      <c r="CE257" s="11"/>
      <c r="CF257" s="11"/>
      <c r="CG257" s="11"/>
      <c r="CH257" s="11"/>
      <c r="CI257" s="11"/>
      <c r="CJ257" s="11"/>
      <c r="CK257" s="11"/>
      <c r="CL257" s="11"/>
      <c r="CM257" s="11"/>
      <c r="CN257" s="11"/>
      <c r="CO257" s="11"/>
      <c r="CP257" s="11"/>
      <c r="CQ257" s="11"/>
      <c r="CR257" s="11"/>
      <c r="CS257" s="11"/>
      <c r="CT257" s="11"/>
      <c r="CU257" s="11"/>
      <c r="CV257" s="11"/>
      <c r="CW257" s="11"/>
      <c r="CX257" s="11"/>
      <c r="CY257" s="11"/>
      <c r="CZ257" s="11"/>
      <c r="DA257" s="11"/>
      <c r="DB257" s="11"/>
      <c r="DC257" s="11"/>
      <c r="DD257" s="11"/>
      <c r="DE257" s="11"/>
      <c r="DF257" s="11"/>
      <c r="DG257" s="11"/>
      <c r="DH257" s="11"/>
    </row>
    <row r="258" spans="1:112">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F258" s="11"/>
      <c r="CG258" s="11"/>
      <c r="CH258" s="11"/>
      <c r="CI258" s="11"/>
      <c r="CJ258" s="11"/>
      <c r="CK258" s="11"/>
      <c r="CL258" s="11"/>
      <c r="CM258" s="11"/>
      <c r="CN258" s="11"/>
      <c r="CO258" s="11"/>
      <c r="CP258" s="11"/>
      <c r="CQ258" s="11"/>
      <c r="CR258" s="11"/>
      <c r="CS258" s="11"/>
      <c r="CT258" s="11"/>
      <c r="CU258" s="11"/>
      <c r="CV258" s="11"/>
      <c r="CW258" s="11"/>
      <c r="CX258" s="11"/>
      <c r="CY258" s="11"/>
      <c r="CZ258" s="11"/>
      <c r="DA258" s="11"/>
      <c r="DB258" s="11"/>
      <c r="DC258" s="11"/>
      <c r="DD258" s="11"/>
      <c r="DE258" s="11"/>
      <c r="DF258" s="11"/>
      <c r="DG258" s="11"/>
      <c r="DH258" s="11"/>
    </row>
    <row r="259" spans="1:112">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D259" s="11"/>
      <c r="CE259" s="11"/>
      <c r="CF259" s="11"/>
      <c r="CG259" s="11"/>
      <c r="CH259" s="11"/>
      <c r="CI259" s="11"/>
      <c r="CJ259" s="11"/>
      <c r="CK259" s="11"/>
      <c r="CL259" s="11"/>
      <c r="CM259" s="11"/>
      <c r="CN259" s="11"/>
      <c r="CO259" s="11"/>
      <c r="CP259" s="11"/>
      <c r="CQ259" s="11"/>
      <c r="CR259" s="11"/>
      <c r="CS259" s="11"/>
      <c r="CT259" s="11"/>
      <c r="CU259" s="11"/>
      <c r="CV259" s="11"/>
      <c r="CW259" s="11"/>
      <c r="CX259" s="11"/>
      <c r="CY259" s="11"/>
      <c r="CZ259" s="11"/>
      <c r="DA259" s="11"/>
      <c r="DB259" s="11"/>
      <c r="DC259" s="11"/>
      <c r="DD259" s="11"/>
      <c r="DE259" s="11"/>
      <c r="DF259" s="11"/>
      <c r="DG259" s="11"/>
      <c r="DH259" s="11"/>
    </row>
    <row r="260" spans="1:112">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D260" s="11"/>
      <c r="CE260" s="11"/>
      <c r="CF260" s="11"/>
      <c r="CG260" s="11"/>
      <c r="CH260" s="11"/>
      <c r="CI260" s="11"/>
      <c r="CJ260" s="11"/>
      <c r="CK260" s="11"/>
      <c r="CL260" s="11"/>
      <c r="CM260" s="11"/>
      <c r="CN260" s="11"/>
      <c r="CO260" s="11"/>
      <c r="CP260" s="11"/>
      <c r="CQ260" s="11"/>
      <c r="CR260" s="11"/>
      <c r="CS260" s="11"/>
      <c r="CT260" s="11"/>
      <c r="CU260" s="11"/>
      <c r="CV260" s="11"/>
      <c r="CW260" s="11"/>
      <c r="CX260" s="11"/>
      <c r="CY260" s="11"/>
      <c r="CZ260" s="11"/>
      <c r="DA260" s="11"/>
      <c r="DB260" s="11"/>
      <c r="DC260" s="11"/>
      <c r="DD260" s="11"/>
      <c r="DE260" s="11"/>
      <c r="DF260" s="11"/>
      <c r="DG260" s="11"/>
      <c r="DH260" s="11"/>
    </row>
    <row r="261" spans="1:112">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D261" s="11"/>
      <c r="CE261" s="11"/>
      <c r="CF261" s="11"/>
      <c r="CG261" s="11"/>
      <c r="CH261" s="11"/>
      <c r="CI261" s="11"/>
      <c r="CJ261" s="11"/>
      <c r="CK261" s="11"/>
      <c r="CL261" s="11"/>
      <c r="CM261" s="11"/>
      <c r="CN261" s="11"/>
      <c r="CO261" s="11"/>
      <c r="CP261" s="11"/>
      <c r="CQ261" s="11"/>
      <c r="CR261" s="11"/>
      <c r="CS261" s="11"/>
      <c r="CT261" s="11"/>
      <c r="CU261" s="11"/>
      <c r="CV261" s="11"/>
      <c r="CW261" s="11"/>
      <c r="CX261" s="11"/>
      <c r="CY261" s="11"/>
      <c r="CZ261" s="11"/>
      <c r="DA261" s="11"/>
      <c r="DB261" s="11"/>
      <c r="DC261" s="11"/>
      <c r="DD261" s="11"/>
      <c r="DE261" s="11"/>
      <c r="DF261" s="11"/>
      <c r="DG261" s="11"/>
      <c r="DH261" s="11"/>
    </row>
    <row r="262" spans="1:112">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F262" s="11"/>
      <c r="CG262" s="11"/>
      <c r="CH262" s="11"/>
      <c r="CI262" s="11"/>
      <c r="CJ262" s="11"/>
      <c r="CK262" s="11"/>
      <c r="CL262" s="11"/>
      <c r="CM262" s="11"/>
      <c r="CN262" s="11"/>
      <c r="CO262" s="11"/>
      <c r="CP262" s="11"/>
      <c r="CQ262" s="11"/>
      <c r="CR262" s="11"/>
      <c r="CS262" s="11"/>
      <c r="CT262" s="11"/>
      <c r="CU262" s="11"/>
      <c r="CV262" s="11"/>
      <c r="CW262" s="11"/>
      <c r="CX262" s="11"/>
      <c r="CY262" s="11"/>
      <c r="CZ262" s="11"/>
      <c r="DA262" s="11"/>
      <c r="DB262" s="11"/>
      <c r="DC262" s="11"/>
      <c r="DD262" s="11"/>
      <c r="DE262" s="11"/>
      <c r="DF262" s="11"/>
      <c r="DG262" s="11"/>
      <c r="DH262" s="11"/>
    </row>
    <row r="263" spans="1:112">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D263" s="11"/>
      <c r="CE263" s="11"/>
      <c r="CF263" s="11"/>
      <c r="CG263" s="11"/>
      <c r="CH263" s="11"/>
      <c r="CI263" s="11"/>
      <c r="CJ263" s="11"/>
      <c r="CK263" s="11"/>
      <c r="CL263" s="11"/>
      <c r="CM263" s="11"/>
      <c r="CN263" s="11"/>
      <c r="CO263" s="11"/>
      <c r="CP263" s="11"/>
      <c r="CQ263" s="11"/>
      <c r="CR263" s="11"/>
      <c r="CS263" s="11"/>
      <c r="CT263" s="11"/>
      <c r="CU263" s="11"/>
      <c r="CV263" s="11"/>
      <c r="CW263" s="11"/>
      <c r="CX263" s="11"/>
      <c r="CY263" s="11"/>
      <c r="CZ263" s="11"/>
      <c r="DA263" s="11"/>
      <c r="DB263" s="11"/>
      <c r="DC263" s="11"/>
      <c r="DD263" s="11"/>
      <c r="DE263" s="11"/>
      <c r="DF263" s="11"/>
      <c r="DG263" s="11"/>
      <c r="DH263" s="11"/>
    </row>
    <row r="264" spans="1:112">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D264" s="11"/>
      <c r="CE264" s="11"/>
      <c r="CF264" s="11"/>
      <c r="CG264" s="11"/>
      <c r="CH264" s="11"/>
      <c r="CI264" s="11"/>
      <c r="CJ264" s="11"/>
      <c r="CK264" s="11"/>
      <c r="CL264" s="11"/>
      <c r="CM264" s="11"/>
      <c r="CN264" s="11"/>
      <c r="CO264" s="11"/>
      <c r="CP264" s="11"/>
      <c r="CQ264" s="11"/>
      <c r="CR264" s="11"/>
      <c r="CS264" s="11"/>
      <c r="CT264" s="11"/>
      <c r="CU264" s="11"/>
      <c r="CV264" s="11"/>
      <c r="CW264" s="11"/>
      <c r="CX264" s="11"/>
      <c r="CY264" s="11"/>
      <c r="CZ264" s="11"/>
      <c r="DA264" s="11"/>
      <c r="DB264" s="11"/>
      <c r="DC264" s="11"/>
      <c r="DD264" s="11"/>
      <c r="DE264" s="11"/>
      <c r="DF264" s="11"/>
      <c r="DG264" s="11"/>
      <c r="DH264" s="11"/>
    </row>
    <row r="265" spans="1:112">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D265" s="11"/>
      <c r="CE265" s="11"/>
      <c r="CF265" s="11"/>
      <c r="CG265" s="11"/>
      <c r="CH265" s="11"/>
      <c r="CI265" s="11"/>
      <c r="CJ265" s="11"/>
      <c r="CK265" s="11"/>
      <c r="CL265" s="11"/>
      <c r="CM265" s="11"/>
      <c r="CN265" s="11"/>
      <c r="CO265" s="11"/>
      <c r="CP265" s="11"/>
      <c r="CQ265" s="11"/>
      <c r="CR265" s="11"/>
      <c r="CS265" s="11"/>
      <c r="CT265" s="11"/>
      <c r="CU265" s="11"/>
      <c r="CV265" s="11"/>
      <c r="CW265" s="11"/>
      <c r="CX265" s="11"/>
      <c r="CY265" s="11"/>
      <c r="CZ265" s="11"/>
      <c r="DA265" s="11"/>
      <c r="DB265" s="11"/>
      <c r="DC265" s="11"/>
      <c r="DD265" s="11"/>
      <c r="DE265" s="11"/>
      <c r="DF265" s="11"/>
      <c r="DG265" s="11"/>
      <c r="DH265" s="11"/>
    </row>
    <row r="266" spans="1:112">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D266" s="11"/>
      <c r="CE266" s="11"/>
      <c r="CF266" s="11"/>
      <c r="CG266" s="11"/>
      <c r="CH266" s="11"/>
      <c r="CI266" s="11"/>
      <c r="CJ266" s="11"/>
      <c r="CK266" s="11"/>
      <c r="CL266" s="11"/>
      <c r="CM266" s="11"/>
      <c r="CN266" s="11"/>
      <c r="CO266" s="11"/>
      <c r="CP266" s="11"/>
      <c r="CQ266" s="11"/>
      <c r="CR266" s="11"/>
      <c r="CS266" s="11"/>
      <c r="CT266" s="11"/>
      <c r="CU266" s="11"/>
      <c r="CV266" s="11"/>
      <c r="CW266" s="11"/>
      <c r="CX266" s="11"/>
      <c r="CY266" s="11"/>
      <c r="CZ266" s="11"/>
      <c r="DA266" s="11"/>
      <c r="DB266" s="11"/>
      <c r="DC266" s="11"/>
      <c r="DD266" s="11"/>
      <c r="DE266" s="11"/>
      <c r="DF266" s="11"/>
      <c r="DG266" s="11"/>
      <c r="DH266" s="11"/>
    </row>
    <row r="267" spans="1:112">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D267" s="11"/>
      <c r="CE267" s="11"/>
      <c r="CF267" s="11"/>
      <c r="CG267" s="11"/>
      <c r="CH267" s="11"/>
      <c r="CI267" s="11"/>
      <c r="CJ267" s="11"/>
      <c r="CK267" s="11"/>
      <c r="CL267" s="11"/>
      <c r="CM267" s="11"/>
      <c r="CN267" s="11"/>
      <c r="CO267" s="11"/>
      <c r="CP267" s="11"/>
      <c r="CQ267" s="11"/>
      <c r="CR267" s="11"/>
      <c r="CS267" s="11"/>
      <c r="CT267" s="11"/>
      <c r="CU267" s="11"/>
      <c r="CV267" s="11"/>
      <c r="CW267" s="11"/>
      <c r="CX267" s="11"/>
      <c r="CY267" s="11"/>
      <c r="CZ267" s="11"/>
      <c r="DA267" s="11"/>
      <c r="DB267" s="11"/>
      <c r="DC267" s="11"/>
      <c r="DD267" s="11"/>
      <c r="DE267" s="11"/>
      <c r="DF267" s="11"/>
      <c r="DG267" s="11"/>
      <c r="DH267" s="11"/>
    </row>
    <row r="268" spans="1:112">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c r="BY268" s="11"/>
      <c r="BZ268" s="11"/>
      <c r="CA268" s="11"/>
      <c r="CB268" s="11"/>
      <c r="CC268" s="11"/>
      <c r="CD268" s="11"/>
      <c r="CE268" s="11"/>
      <c r="CF268" s="11"/>
      <c r="CG268" s="11"/>
      <c r="CH268" s="11"/>
      <c r="CI268" s="11"/>
      <c r="CJ268" s="11"/>
      <c r="CK268" s="11"/>
      <c r="CL268" s="11"/>
      <c r="CM268" s="11"/>
      <c r="CN268" s="11"/>
      <c r="CO268" s="11"/>
      <c r="CP268" s="11"/>
      <c r="CQ268" s="11"/>
      <c r="CR268" s="11"/>
      <c r="CS268" s="11"/>
      <c r="CT268" s="11"/>
      <c r="CU268" s="11"/>
      <c r="CV268" s="11"/>
      <c r="CW268" s="11"/>
      <c r="CX268" s="11"/>
      <c r="CY268" s="11"/>
      <c r="CZ268" s="11"/>
      <c r="DA268" s="11"/>
      <c r="DB268" s="11"/>
      <c r="DC268" s="11"/>
      <c r="DD268" s="11"/>
      <c r="DE268" s="11"/>
      <c r="DF268" s="11"/>
      <c r="DG268" s="11"/>
      <c r="DH268" s="11"/>
    </row>
    <row r="269" spans="1:112">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D269" s="11"/>
      <c r="CE269" s="11"/>
      <c r="CF269" s="11"/>
      <c r="CG269" s="11"/>
      <c r="CH269" s="11"/>
      <c r="CI269" s="11"/>
      <c r="CJ269" s="11"/>
      <c r="CK269" s="11"/>
      <c r="CL269" s="11"/>
      <c r="CM269" s="11"/>
      <c r="CN269" s="11"/>
      <c r="CO269" s="11"/>
      <c r="CP269" s="11"/>
      <c r="CQ269" s="11"/>
      <c r="CR269" s="11"/>
      <c r="CS269" s="11"/>
      <c r="CT269" s="11"/>
      <c r="CU269" s="11"/>
      <c r="CV269" s="11"/>
      <c r="CW269" s="11"/>
      <c r="CX269" s="11"/>
      <c r="CY269" s="11"/>
      <c r="CZ269" s="11"/>
      <c r="DA269" s="11"/>
      <c r="DB269" s="11"/>
      <c r="DC269" s="11"/>
      <c r="DD269" s="11"/>
      <c r="DE269" s="11"/>
      <c r="DF269" s="11"/>
      <c r="DG269" s="11"/>
      <c r="DH269" s="11"/>
    </row>
    <row r="270" spans="1:112">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CV270" s="11"/>
      <c r="CW270" s="11"/>
      <c r="CX270" s="11"/>
      <c r="CY270" s="11"/>
      <c r="CZ270" s="11"/>
      <c r="DA270" s="11"/>
      <c r="DB270" s="11"/>
      <c r="DC270" s="11"/>
      <c r="DD270" s="11"/>
      <c r="DE270" s="11"/>
      <c r="DF270" s="11"/>
      <c r="DG270" s="11"/>
      <c r="DH270" s="11"/>
    </row>
    <row r="271" spans="1:112">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F271" s="11"/>
      <c r="CG271" s="11"/>
      <c r="CH271" s="11"/>
      <c r="CI271" s="11"/>
      <c r="CJ271" s="11"/>
      <c r="CK271" s="11"/>
      <c r="CL271" s="11"/>
      <c r="CM271" s="11"/>
      <c r="CN271" s="11"/>
      <c r="CO271" s="11"/>
      <c r="CP271" s="11"/>
      <c r="CQ271" s="11"/>
      <c r="CR271" s="11"/>
      <c r="CS271" s="11"/>
      <c r="CT271" s="11"/>
      <c r="CU271" s="11"/>
      <c r="CV271" s="11"/>
      <c r="CW271" s="11"/>
      <c r="CX271" s="11"/>
      <c r="CY271" s="11"/>
      <c r="CZ271" s="11"/>
      <c r="DA271" s="11"/>
      <c r="DB271" s="11"/>
      <c r="DC271" s="11"/>
      <c r="DD271" s="11"/>
      <c r="DE271" s="11"/>
      <c r="DF271" s="11"/>
      <c r="DG271" s="11"/>
      <c r="DH271" s="11"/>
    </row>
    <row r="272" spans="1:112">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D272" s="11"/>
      <c r="CE272" s="11"/>
      <c r="CF272" s="11"/>
      <c r="CG272" s="11"/>
      <c r="CH272" s="11"/>
      <c r="CI272" s="11"/>
      <c r="CJ272" s="11"/>
      <c r="CK272" s="11"/>
      <c r="CL272" s="11"/>
      <c r="CM272" s="11"/>
      <c r="CN272" s="11"/>
      <c r="CO272" s="11"/>
      <c r="CP272" s="11"/>
      <c r="CQ272" s="11"/>
      <c r="CR272" s="11"/>
      <c r="CS272" s="11"/>
      <c r="CT272" s="11"/>
      <c r="CU272" s="11"/>
      <c r="CV272" s="11"/>
      <c r="CW272" s="11"/>
      <c r="CX272" s="11"/>
      <c r="CY272" s="11"/>
      <c r="CZ272" s="11"/>
      <c r="DA272" s="11"/>
      <c r="DB272" s="11"/>
      <c r="DC272" s="11"/>
      <c r="DD272" s="11"/>
      <c r="DE272" s="11"/>
      <c r="DF272" s="11"/>
      <c r="DG272" s="11"/>
      <c r="DH272" s="11"/>
    </row>
    <row r="273" spans="1:112">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D273" s="11"/>
      <c r="CE273" s="11"/>
      <c r="CF273" s="11"/>
      <c r="CG273" s="11"/>
      <c r="CH273" s="11"/>
      <c r="CI273" s="11"/>
      <c r="CJ273" s="11"/>
      <c r="CK273" s="11"/>
      <c r="CL273" s="11"/>
      <c r="CM273" s="11"/>
      <c r="CN273" s="11"/>
      <c r="CO273" s="11"/>
      <c r="CP273" s="11"/>
      <c r="CQ273" s="11"/>
      <c r="CR273" s="11"/>
      <c r="CS273" s="11"/>
      <c r="CT273" s="11"/>
      <c r="CU273" s="11"/>
      <c r="CV273" s="11"/>
      <c r="CW273" s="11"/>
      <c r="CX273" s="11"/>
      <c r="CY273" s="11"/>
      <c r="CZ273" s="11"/>
      <c r="DA273" s="11"/>
      <c r="DB273" s="11"/>
      <c r="DC273" s="11"/>
      <c r="DD273" s="11"/>
      <c r="DE273" s="11"/>
      <c r="DF273" s="11"/>
      <c r="DG273" s="11"/>
      <c r="DH273" s="11"/>
    </row>
    <row r="274" spans="1:112">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c r="BY274" s="11"/>
      <c r="BZ274" s="11"/>
      <c r="CA274" s="11"/>
      <c r="CB274" s="11"/>
      <c r="CC274" s="11"/>
      <c r="CD274" s="11"/>
      <c r="CE274" s="11"/>
      <c r="CF274" s="11"/>
      <c r="CG274" s="11"/>
      <c r="CH274" s="11"/>
      <c r="CI274" s="11"/>
      <c r="CJ274" s="11"/>
      <c r="CK274" s="11"/>
      <c r="CL274" s="11"/>
      <c r="CM274" s="11"/>
      <c r="CN274" s="11"/>
      <c r="CO274" s="11"/>
      <c r="CP274" s="11"/>
      <c r="CQ274" s="11"/>
      <c r="CR274" s="11"/>
      <c r="CS274" s="11"/>
      <c r="CT274" s="11"/>
      <c r="CU274" s="11"/>
      <c r="CV274" s="11"/>
      <c r="CW274" s="11"/>
      <c r="CX274" s="11"/>
      <c r="CY274" s="11"/>
      <c r="CZ274" s="11"/>
      <c r="DA274" s="11"/>
      <c r="DB274" s="11"/>
      <c r="DC274" s="11"/>
      <c r="DD274" s="11"/>
      <c r="DE274" s="11"/>
      <c r="DF274" s="11"/>
      <c r="DG274" s="11"/>
      <c r="DH274" s="11"/>
    </row>
    <row r="275" spans="1:112">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c r="BY275" s="11"/>
      <c r="BZ275" s="11"/>
      <c r="CA275" s="11"/>
      <c r="CB275" s="11"/>
      <c r="CC275" s="11"/>
      <c r="CD275" s="11"/>
      <c r="CE275" s="11"/>
      <c r="CF275" s="11"/>
      <c r="CG275" s="11"/>
      <c r="CH275" s="11"/>
      <c r="CI275" s="11"/>
      <c r="CJ275" s="11"/>
      <c r="CK275" s="11"/>
      <c r="CL275" s="11"/>
      <c r="CM275" s="11"/>
      <c r="CN275" s="11"/>
      <c r="CO275" s="11"/>
      <c r="CP275" s="11"/>
      <c r="CQ275" s="11"/>
      <c r="CR275" s="11"/>
      <c r="CS275" s="11"/>
      <c r="CT275" s="11"/>
      <c r="CU275" s="11"/>
      <c r="CV275" s="11"/>
      <c r="CW275" s="11"/>
      <c r="CX275" s="11"/>
      <c r="CY275" s="11"/>
      <c r="CZ275" s="11"/>
      <c r="DA275" s="11"/>
      <c r="DB275" s="11"/>
      <c r="DC275" s="11"/>
      <c r="DD275" s="11"/>
      <c r="DE275" s="11"/>
      <c r="DF275" s="11"/>
      <c r="DG275" s="11"/>
      <c r="DH275" s="11"/>
    </row>
    <row r="276" spans="1:112">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c r="BY276" s="11"/>
      <c r="BZ276" s="11"/>
      <c r="CA276" s="11"/>
      <c r="CB276" s="11"/>
      <c r="CC276" s="11"/>
      <c r="CD276" s="11"/>
      <c r="CE276" s="11"/>
      <c r="CF276" s="11"/>
      <c r="CG276" s="11"/>
      <c r="CH276" s="11"/>
      <c r="CI276" s="11"/>
      <c r="CJ276" s="11"/>
      <c r="CK276" s="11"/>
      <c r="CL276" s="11"/>
      <c r="CM276" s="11"/>
      <c r="CN276" s="11"/>
      <c r="CO276" s="11"/>
      <c r="CP276" s="11"/>
      <c r="CQ276" s="11"/>
      <c r="CR276" s="11"/>
      <c r="CS276" s="11"/>
      <c r="CT276" s="11"/>
      <c r="CU276" s="11"/>
      <c r="CV276" s="11"/>
      <c r="CW276" s="11"/>
      <c r="CX276" s="11"/>
      <c r="CY276" s="11"/>
      <c r="CZ276" s="11"/>
      <c r="DA276" s="11"/>
      <c r="DB276" s="11"/>
      <c r="DC276" s="11"/>
      <c r="DD276" s="11"/>
      <c r="DE276" s="11"/>
      <c r="DF276" s="11"/>
      <c r="DG276" s="11"/>
      <c r="DH276" s="11"/>
    </row>
    <row r="277" spans="1:112">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D277" s="11"/>
      <c r="CE277" s="11"/>
      <c r="CF277" s="11"/>
      <c r="CG277" s="11"/>
      <c r="CH277" s="11"/>
      <c r="CI277" s="11"/>
      <c r="CJ277" s="11"/>
      <c r="CK277" s="11"/>
      <c r="CL277" s="11"/>
      <c r="CM277" s="11"/>
      <c r="CN277" s="11"/>
      <c r="CO277" s="11"/>
      <c r="CP277" s="11"/>
      <c r="CQ277" s="11"/>
      <c r="CR277" s="11"/>
      <c r="CS277" s="11"/>
      <c r="CT277" s="11"/>
      <c r="CU277" s="11"/>
      <c r="CV277" s="11"/>
      <c r="CW277" s="11"/>
      <c r="CX277" s="11"/>
      <c r="CY277" s="11"/>
      <c r="CZ277" s="11"/>
      <c r="DA277" s="11"/>
      <c r="DB277" s="11"/>
      <c r="DC277" s="11"/>
      <c r="DD277" s="11"/>
      <c r="DE277" s="11"/>
      <c r="DF277" s="11"/>
      <c r="DG277" s="11"/>
      <c r="DH277" s="11"/>
    </row>
    <row r="278" spans="1:112">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F278" s="11"/>
      <c r="CG278" s="11"/>
      <c r="CH278" s="11"/>
      <c r="CI278" s="11"/>
      <c r="CJ278" s="11"/>
      <c r="CK278" s="11"/>
      <c r="CL278" s="11"/>
      <c r="CM278" s="11"/>
      <c r="CN278" s="11"/>
      <c r="CO278" s="11"/>
      <c r="CP278" s="11"/>
      <c r="CQ278" s="11"/>
      <c r="CR278" s="11"/>
      <c r="CS278" s="11"/>
      <c r="CT278" s="11"/>
      <c r="CU278" s="11"/>
      <c r="CV278" s="11"/>
      <c r="CW278" s="11"/>
      <c r="CX278" s="11"/>
      <c r="CY278" s="11"/>
      <c r="CZ278" s="11"/>
      <c r="DA278" s="11"/>
      <c r="DB278" s="11"/>
      <c r="DC278" s="11"/>
      <c r="DD278" s="11"/>
      <c r="DE278" s="11"/>
      <c r="DF278" s="11"/>
      <c r="DG278" s="11"/>
      <c r="DH278" s="11"/>
    </row>
    <row r="279" spans="1:112">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D279" s="11"/>
      <c r="CE279" s="11"/>
      <c r="CF279" s="11"/>
      <c r="CG279" s="11"/>
      <c r="CH279" s="11"/>
      <c r="CI279" s="11"/>
      <c r="CJ279" s="11"/>
      <c r="CK279" s="11"/>
      <c r="CL279" s="11"/>
      <c r="CM279" s="11"/>
      <c r="CN279" s="11"/>
      <c r="CO279" s="11"/>
      <c r="CP279" s="11"/>
      <c r="CQ279" s="11"/>
      <c r="CR279" s="11"/>
      <c r="CS279" s="11"/>
      <c r="CT279" s="11"/>
      <c r="CU279" s="11"/>
      <c r="CV279" s="11"/>
      <c r="CW279" s="11"/>
      <c r="CX279" s="11"/>
      <c r="CY279" s="11"/>
      <c r="CZ279" s="11"/>
      <c r="DA279" s="11"/>
      <c r="DB279" s="11"/>
      <c r="DC279" s="11"/>
      <c r="DD279" s="11"/>
      <c r="DE279" s="11"/>
      <c r="DF279" s="11"/>
      <c r="DG279" s="11"/>
      <c r="DH279" s="11"/>
    </row>
    <row r="280" spans="1:112">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F280" s="11"/>
      <c r="CG280" s="11"/>
      <c r="CH280" s="11"/>
      <c r="CI280" s="11"/>
      <c r="CJ280" s="11"/>
      <c r="CK280" s="11"/>
      <c r="CL280" s="11"/>
      <c r="CM280" s="11"/>
      <c r="CN280" s="11"/>
      <c r="CO280" s="11"/>
      <c r="CP280" s="11"/>
      <c r="CQ280" s="11"/>
      <c r="CR280" s="11"/>
      <c r="CS280" s="11"/>
      <c r="CT280" s="11"/>
      <c r="CU280" s="11"/>
      <c r="CV280" s="11"/>
      <c r="CW280" s="11"/>
      <c r="CX280" s="11"/>
      <c r="CY280" s="11"/>
      <c r="CZ280" s="11"/>
      <c r="DA280" s="11"/>
      <c r="DB280" s="11"/>
      <c r="DC280" s="11"/>
      <c r="DD280" s="11"/>
      <c r="DE280" s="11"/>
      <c r="DF280" s="11"/>
      <c r="DG280" s="11"/>
      <c r="DH280" s="11"/>
    </row>
    <row r="281" spans="1:112">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c r="BY281" s="11"/>
      <c r="BZ281" s="11"/>
      <c r="CA281" s="11"/>
      <c r="CB281" s="11"/>
      <c r="CC281" s="11"/>
      <c r="CD281" s="11"/>
      <c r="CE281" s="11"/>
      <c r="CF281" s="11"/>
      <c r="CG281" s="11"/>
      <c r="CH281" s="11"/>
      <c r="CI281" s="11"/>
      <c r="CJ281" s="11"/>
      <c r="CK281" s="11"/>
      <c r="CL281" s="11"/>
      <c r="CM281" s="11"/>
      <c r="CN281" s="11"/>
      <c r="CO281" s="11"/>
      <c r="CP281" s="11"/>
      <c r="CQ281" s="11"/>
      <c r="CR281" s="11"/>
      <c r="CS281" s="11"/>
      <c r="CT281" s="11"/>
      <c r="CU281" s="11"/>
      <c r="CV281" s="11"/>
      <c r="CW281" s="11"/>
      <c r="CX281" s="11"/>
      <c r="CY281" s="11"/>
      <c r="CZ281" s="11"/>
      <c r="DA281" s="11"/>
      <c r="DB281" s="11"/>
      <c r="DC281" s="11"/>
      <c r="DD281" s="11"/>
      <c r="DE281" s="11"/>
      <c r="DF281" s="11"/>
      <c r="DG281" s="11"/>
      <c r="DH281" s="11"/>
    </row>
    <row r="282" spans="1:112">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D282" s="11"/>
      <c r="CE282" s="11"/>
      <c r="CF282" s="11"/>
      <c r="CG282" s="11"/>
      <c r="CH282" s="11"/>
      <c r="CI282" s="11"/>
      <c r="CJ282" s="11"/>
      <c r="CK282" s="11"/>
      <c r="CL282" s="11"/>
      <c r="CM282" s="11"/>
      <c r="CN282" s="11"/>
      <c r="CO282" s="11"/>
      <c r="CP282" s="11"/>
      <c r="CQ282" s="11"/>
      <c r="CR282" s="11"/>
      <c r="CS282" s="11"/>
      <c r="CT282" s="11"/>
      <c r="CU282" s="11"/>
      <c r="CV282" s="11"/>
      <c r="CW282" s="11"/>
      <c r="CX282" s="11"/>
      <c r="CY282" s="11"/>
      <c r="CZ282" s="11"/>
      <c r="DA282" s="11"/>
      <c r="DB282" s="11"/>
      <c r="DC282" s="11"/>
      <c r="DD282" s="11"/>
      <c r="DE282" s="11"/>
      <c r="DF282" s="11"/>
      <c r="DG282" s="11"/>
      <c r="DH282" s="11"/>
    </row>
    <row r="283" spans="1:112">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D283" s="11"/>
      <c r="CE283" s="11"/>
      <c r="CF283" s="11"/>
      <c r="CG283" s="11"/>
      <c r="CH283" s="11"/>
      <c r="CI283" s="11"/>
      <c r="CJ283" s="11"/>
      <c r="CK283" s="11"/>
      <c r="CL283" s="11"/>
      <c r="CM283" s="11"/>
      <c r="CN283" s="11"/>
      <c r="CO283" s="11"/>
      <c r="CP283" s="11"/>
      <c r="CQ283" s="11"/>
      <c r="CR283" s="11"/>
      <c r="CS283" s="11"/>
      <c r="CT283" s="11"/>
      <c r="CU283" s="11"/>
      <c r="CV283" s="11"/>
      <c r="CW283" s="11"/>
      <c r="CX283" s="11"/>
      <c r="CY283" s="11"/>
      <c r="CZ283" s="11"/>
      <c r="DA283" s="11"/>
      <c r="DB283" s="11"/>
      <c r="DC283" s="11"/>
      <c r="DD283" s="11"/>
      <c r="DE283" s="11"/>
      <c r="DF283" s="11"/>
      <c r="DG283" s="11"/>
      <c r="DH283" s="11"/>
    </row>
    <row r="284" spans="1:112">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1"/>
      <c r="CH284" s="11"/>
      <c r="CI284" s="11"/>
      <c r="CJ284" s="11"/>
      <c r="CK284" s="11"/>
      <c r="CL284" s="11"/>
      <c r="CM284" s="11"/>
      <c r="CN284" s="11"/>
      <c r="CO284" s="11"/>
      <c r="CP284" s="11"/>
      <c r="CQ284" s="11"/>
      <c r="CR284" s="11"/>
      <c r="CS284" s="11"/>
      <c r="CT284" s="11"/>
      <c r="CU284" s="11"/>
      <c r="CV284" s="11"/>
      <c r="CW284" s="11"/>
      <c r="CX284" s="11"/>
      <c r="CY284" s="11"/>
      <c r="CZ284" s="11"/>
      <c r="DA284" s="11"/>
      <c r="DB284" s="11"/>
      <c r="DC284" s="11"/>
      <c r="DD284" s="11"/>
      <c r="DE284" s="11"/>
      <c r="DF284" s="11"/>
      <c r="DG284" s="11"/>
      <c r="DH284" s="11"/>
    </row>
    <row r="285" spans="1:112">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F285" s="11"/>
      <c r="CG285" s="11"/>
      <c r="CH285" s="11"/>
      <c r="CI285" s="11"/>
      <c r="CJ285" s="11"/>
      <c r="CK285" s="11"/>
      <c r="CL285" s="11"/>
      <c r="CM285" s="11"/>
      <c r="CN285" s="11"/>
      <c r="CO285" s="11"/>
      <c r="CP285" s="11"/>
      <c r="CQ285" s="11"/>
      <c r="CR285" s="11"/>
      <c r="CS285" s="11"/>
      <c r="CT285" s="11"/>
      <c r="CU285" s="11"/>
      <c r="CV285" s="11"/>
      <c r="CW285" s="11"/>
      <c r="CX285" s="11"/>
      <c r="CY285" s="11"/>
      <c r="CZ285" s="11"/>
      <c r="DA285" s="11"/>
      <c r="DB285" s="11"/>
      <c r="DC285" s="11"/>
      <c r="DD285" s="11"/>
      <c r="DE285" s="11"/>
      <c r="DF285" s="11"/>
      <c r="DG285" s="11"/>
      <c r="DH285" s="11"/>
    </row>
    <row r="286" spans="1:112">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row>
    <row r="287" spans="1:112">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F287" s="11"/>
      <c r="CG287" s="11"/>
      <c r="CH287" s="11"/>
      <c r="CI287" s="11"/>
      <c r="CJ287" s="11"/>
      <c r="CK287" s="11"/>
      <c r="CL287" s="11"/>
      <c r="CM287" s="11"/>
      <c r="CN287" s="11"/>
      <c r="CO287" s="11"/>
      <c r="CP287" s="11"/>
      <c r="CQ287" s="11"/>
      <c r="CR287" s="11"/>
      <c r="CS287" s="11"/>
      <c r="CT287" s="11"/>
      <c r="CU287" s="11"/>
      <c r="CV287" s="11"/>
      <c r="CW287" s="11"/>
      <c r="CX287" s="11"/>
      <c r="CY287" s="11"/>
      <c r="CZ287" s="11"/>
      <c r="DA287" s="11"/>
      <c r="DB287" s="11"/>
      <c r="DC287" s="11"/>
      <c r="DD287" s="11"/>
      <c r="DE287" s="11"/>
      <c r="DF287" s="11"/>
      <c r="DG287" s="11"/>
      <c r="DH287" s="11"/>
    </row>
    <row r="288" spans="1:112">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c r="CE288" s="11"/>
      <c r="CF288" s="11"/>
      <c r="CG288" s="11"/>
      <c r="CH288" s="11"/>
      <c r="CI288" s="11"/>
      <c r="CJ288" s="11"/>
      <c r="CK288" s="11"/>
      <c r="CL288" s="11"/>
      <c r="CM288" s="11"/>
      <c r="CN288" s="11"/>
      <c r="CO288" s="11"/>
      <c r="CP288" s="11"/>
      <c r="CQ288" s="11"/>
      <c r="CR288" s="11"/>
      <c r="CS288" s="11"/>
      <c r="CT288" s="11"/>
      <c r="CU288" s="11"/>
      <c r="CV288" s="11"/>
      <c r="CW288" s="11"/>
      <c r="CX288" s="11"/>
      <c r="CY288" s="11"/>
      <c r="CZ288" s="11"/>
      <c r="DA288" s="11"/>
      <c r="DB288" s="11"/>
      <c r="DC288" s="11"/>
      <c r="DD288" s="11"/>
      <c r="DE288" s="11"/>
      <c r="DF288" s="11"/>
      <c r="DG288" s="11"/>
      <c r="DH288" s="11"/>
    </row>
    <row r="289" spans="1:112">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F289" s="11"/>
      <c r="CG289" s="11"/>
      <c r="CH289" s="11"/>
      <c r="CI289" s="11"/>
      <c r="CJ289" s="11"/>
      <c r="CK289" s="11"/>
      <c r="CL289" s="11"/>
      <c r="CM289" s="11"/>
      <c r="CN289" s="11"/>
      <c r="CO289" s="11"/>
      <c r="CP289" s="11"/>
      <c r="CQ289" s="11"/>
      <c r="CR289" s="11"/>
      <c r="CS289" s="11"/>
      <c r="CT289" s="11"/>
      <c r="CU289" s="11"/>
      <c r="CV289" s="11"/>
      <c r="CW289" s="11"/>
      <c r="CX289" s="11"/>
      <c r="CY289" s="11"/>
      <c r="CZ289" s="11"/>
      <c r="DA289" s="11"/>
      <c r="DB289" s="11"/>
      <c r="DC289" s="11"/>
      <c r="DD289" s="11"/>
      <c r="DE289" s="11"/>
      <c r="DF289" s="11"/>
      <c r="DG289" s="11"/>
      <c r="DH289" s="11"/>
    </row>
    <row r="290" spans="1:112">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D290" s="11"/>
      <c r="CE290" s="11"/>
      <c r="CF290" s="11"/>
      <c r="CG290" s="11"/>
      <c r="CH290" s="11"/>
      <c r="CI290" s="11"/>
      <c r="CJ290" s="11"/>
      <c r="CK290" s="11"/>
      <c r="CL290" s="11"/>
      <c r="CM290" s="11"/>
      <c r="CN290" s="11"/>
      <c r="CO290" s="11"/>
      <c r="CP290" s="11"/>
      <c r="CQ290" s="11"/>
      <c r="CR290" s="11"/>
      <c r="CS290" s="11"/>
      <c r="CT290" s="11"/>
      <c r="CU290" s="11"/>
      <c r="CV290" s="11"/>
      <c r="CW290" s="11"/>
      <c r="CX290" s="11"/>
      <c r="CY290" s="11"/>
      <c r="CZ290" s="11"/>
      <c r="DA290" s="11"/>
      <c r="DB290" s="11"/>
      <c r="DC290" s="11"/>
      <c r="DD290" s="11"/>
      <c r="DE290" s="11"/>
      <c r="DF290" s="11"/>
      <c r="DG290" s="11"/>
      <c r="DH290" s="11"/>
    </row>
    <row r="291" spans="1:112">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D291" s="11"/>
      <c r="CE291" s="11"/>
      <c r="CF291" s="11"/>
      <c r="CG291" s="11"/>
      <c r="CH291" s="11"/>
      <c r="CI291" s="11"/>
      <c r="CJ291" s="11"/>
      <c r="CK291" s="11"/>
      <c r="CL291" s="11"/>
      <c r="CM291" s="11"/>
      <c r="CN291" s="11"/>
      <c r="CO291" s="11"/>
      <c r="CP291" s="11"/>
      <c r="CQ291" s="11"/>
      <c r="CR291" s="11"/>
      <c r="CS291" s="11"/>
      <c r="CT291" s="11"/>
      <c r="CU291" s="11"/>
      <c r="CV291" s="11"/>
      <c r="CW291" s="11"/>
      <c r="CX291" s="11"/>
      <c r="CY291" s="11"/>
      <c r="CZ291" s="11"/>
      <c r="DA291" s="11"/>
      <c r="DB291" s="11"/>
      <c r="DC291" s="11"/>
      <c r="DD291" s="11"/>
      <c r="DE291" s="11"/>
      <c r="DF291" s="11"/>
      <c r="DG291" s="11"/>
      <c r="DH291" s="11"/>
    </row>
    <row r="292" spans="1:112">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F292" s="11"/>
      <c r="CG292" s="11"/>
      <c r="CH292" s="11"/>
      <c r="CI292" s="11"/>
      <c r="CJ292" s="11"/>
      <c r="CK292" s="11"/>
      <c r="CL292" s="11"/>
      <c r="CM292" s="11"/>
      <c r="CN292" s="11"/>
      <c r="CO292" s="11"/>
      <c r="CP292" s="11"/>
      <c r="CQ292" s="11"/>
      <c r="CR292" s="11"/>
      <c r="CS292" s="11"/>
      <c r="CT292" s="11"/>
      <c r="CU292" s="11"/>
      <c r="CV292" s="11"/>
      <c r="CW292" s="11"/>
      <c r="CX292" s="11"/>
      <c r="CY292" s="11"/>
      <c r="CZ292" s="11"/>
      <c r="DA292" s="11"/>
      <c r="DB292" s="11"/>
      <c r="DC292" s="11"/>
      <c r="DD292" s="11"/>
      <c r="DE292" s="11"/>
      <c r="DF292" s="11"/>
      <c r="DG292" s="11"/>
      <c r="DH292" s="11"/>
    </row>
    <row r="293" spans="1:112">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F293" s="11"/>
      <c r="CG293" s="11"/>
      <c r="CH293" s="11"/>
      <c r="CI293" s="11"/>
      <c r="CJ293" s="11"/>
      <c r="CK293" s="11"/>
      <c r="CL293" s="11"/>
      <c r="CM293" s="11"/>
      <c r="CN293" s="11"/>
      <c r="CO293" s="11"/>
      <c r="CP293" s="11"/>
      <c r="CQ293" s="11"/>
      <c r="CR293" s="11"/>
      <c r="CS293" s="11"/>
      <c r="CT293" s="11"/>
      <c r="CU293" s="11"/>
      <c r="CV293" s="11"/>
      <c r="CW293" s="11"/>
      <c r="CX293" s="11"/>
      <c r="CY293" s="11"/>
      <c r="CZ293" s="11"/>
      <c r="DA293" s="11"/>
      <c r="DB293" s="11"/>
      <c r="DC293" s="11"/>
      <c r="DD293" s="11"/>
      <c r="DE293" s="11"/>
      <c r="DF293" s="11"/>
      <c r="DG293" s="11"/>
      <c r="DH293" s="11"/>
    </row>
    <row r="294" spans="1:112">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row>
    <row r="295" spans="1:112">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D295" s="11"/>
      <c r="CE295" s="11"/>
      <c r="CF295" s="11"/>
      <c r="CG295" s="11"/>
      <c r="CH295" s="11"/>
      <c r="CI295" s="11"/>
      <c r="CJ295" s="11"/>
      <c r="CK295" s="11"/>
      <c r="CL295" s="11"/>
      <c r="CM295" s="11"/>
      <c r="CN295" s="11"/>
      <c r="CO295" s="11"/>
      <c r="CP295" s="11"/>
      <c r="CQ295" s="11"/>
      <c r="CR295" s="11"/>
      <c r="CS295" s="11"/>
      <c r="CT295" s="11"/>
      <c r="CU295" s="11"/>
      <c r="CV295" s="11"/>
      <c r="CW295" s="11"/>
      <c r="CX295" s="11"/>
      <c r="CY295" s="11"/>
      <c r="CZ295" s="11"/>
      <c r="DA295" s="11"/>
      <c r="DB295" s="11"/>
      <c r="DC295" s="11"/>
      <c r="DD295" s="11"/>
      <c r="DE295" s="11"/>
      <c r="DF295" s="11"/>
      <c r="DG295" s="11"/>
      <c r="DH295" s="11"/>
    </row>
    <row r="296" spans="1:112">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D296" s="11"/>
      <c r="CE296" s="11"/>
      <c r="CF296" s="11"/>
      <c r="CG296" s="11"/>
      <c r="CH296" s="11"/>
      <c r="CI296" s="11"/>
      <c r="CJ296" s="11"/>
      <c r="CK296" s="11"/>
      <c r="CL296" s="11"/>
      <c r="CM296" s="11"/>
      <c r="CN296" s="11"/>
      <c r="CO296" s="11"/>
      <c r="CP296" s="11"/>
      <c r="CQ296" s="11"/>
      <c r="CR296" s="11"/>
      <c r="CS296" s="11"/>
      <c r="CT296" s="11"/>
      <c r="CU296" s="11"/>
      <c r="CV296" s="11"/>
      <c r="CW296" s="11"/>
      <c r="CX296" s="11"/>
      <c r="CY296" s="11"/>
      <c r="CZ296" s="11"/>
      <c r="DA296" s="11"/>
      <c r="DB296" s="11"/>
      <c r="DC296" s="11"/>
      <c r="DD296" s="11"/>
      <c r="DE296" s="11"/>
      <c r="DF296" s="11"/>
      <c r="DG296" s="11"/>
      <c r="DH296" s="11"/>
    </row>
    <row r="297" spans="1:112">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F297" s="11"/>
      <c r="CG297" s="11"/>
      <c r="CH297" s="11"/>
      <c r="CI297" s="11"/>
      <c r="CJ297" s="11"/>
      <c r="CK297" s="11"/>
      <c r="CL297" s="11"/>
      <c r="CM297" s="11"/>
      <c r="CN297" s="11"/>
      <c r="CO297" s="11"/>
      <c r="CP297" s="11"/>
      <c r="CQ297" s="11"/>
      <c r="CR297" s="11"/>
      <c r="CS297" s="11"/>
      <c r="CT297" s="11"/>
      <c r="CU297" s="11"/>
      <c r="CV297" s="11"/>
      <c r="CW297" s="11"/>
      <c r="CX297" s="11"/>
      <c r="CY297" s="11"/>
      <c r="CZ297" s="11"/>
      <c r="DA297" s="11"/>
      <c r="DB297" s="11"/>
      <c r="DC297" s="11"/>
      <c r="DD297" s="11"/>
      <c r="DE297" s="11"/>
      <c r="DF297" s="11"/>
      <c r="DG297" s="11"/>
      <c r="DH297" s="11"/>
    </row>
    <row r="298" spans="1:112">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D298" s="11"/>
      <c r="CE298" s="11"/>
      <c r="CF298" s="11"/>
      <c r="CG298" s="11"/>
      <c r="CH298" s="11"/>
      <c r="CI298" s="11"/>
      <c r="CJ298" s="11"/>
      <c r="CK298" s="11"/>
      <c r="CL298" s="11"/>
      <c r="CM298" s="11"/>
      <c r="CN298" s="11"/>
      <c r="CO298" s="11"/>
      <c r="CP298" s="11"/>
      <c r="CQ298" s="11"/>
      <c r="CR298" s="11"/>
      <c r="CS298" s="11"/>
      <c r="CT298" s="11"/>
      <c r="CU298" s="11"/>
      <c r="CV298" s="11"/>
      <c r="CW298" s="11"/>
      <c r="CX298" s="11"/>
      <c r="CY298" s="11"/>
      <c r="CZ298" s="11"/>
      <c r="DA298" s="11"/>
      <c r="DB298" s="11"/>
      <c r="DC298" s="11"/>
      <c r="DD298" s="11"/>
      <c r="DE298" s="11"/>
      <c r="DF298" s="11"/>
      <c r="DG298" s="11"/>
      <c r="DH298" s="11"/>
    </row>
    <row r="299" spans="1:112">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D299" s="11"/>
      <c r="CE299" s="11"/>
      <c r="CF299" s="11"/>
      <c r="CG299" s="11"/>
      <c r="CH299" s="11"/>
      <c r="CI299" s="11"/>
      <c r="CJ299" s="11"/>
      <c r="CK299" s="11"/>
      <c r="CL299" s="11"/>
      <c r="CM299" s="11"/>
      <c r="CN299" s="11"/>
      <c r="CO299" s="11"/>
      <c r="CP299" s="11"/>
      <c r="CQ299" s="11"/>
      <c r="CR299" s="11"/>
      <c r="CS299" s="11"/>
      <c r="CT299" s="11"/>
      <c r="CU299" s="11"/>
      <c r="CV299" s="11"/>
      <c r="CW299" s="11"/>
      <c r="CX299" s="11"/>
      <c r="CY299" s="11"/>
      <c r="CZ299" s="11"/>
      <c r="DA299" s="11"/>
      <c r="DB299" s="11"/>
      <c r="DC299" s="11"/>
      <c r="DD299" s="11"/>
      <c r="DE299" s="11"/>
      <c r="DF299" s="11"/>
      <c r="DG299" s="11"/>
      <c r="DH299" s="11"/>
    </row>
    <row r="300" spans="1:112">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D300" s="11"/>
      <c r="CE300" s="11"/>
      <c r="CF300" s="11"/>
      <c r="CG300" s="11"/>
      <c r="CH300" s="11"/>
      <c r="CI300" s="11"/>
      <c r="CJ300" s="11"/>
      <c r="CK300" s="11"/>
      <c r="CL300" s="11"/>
      <c r="CM300" s="11"/>
      <c r="CN300" s="11"/>
      <c r="CO300" s="11"/>
      <c r="CP300" s="11"/>
      <c r="CQ300" s="11"/>
      <c r="CR300" s="11"/>
      <c r="CS300" s="11"/>
      <c r="CT300" s="11"/>
      <c r="CU300" s="11"/>
      <c r="CV300" s="11"/>
      <c r="CW300" s="11"/>
      <c r="CX300" s="11"/>
      <c r="CY300" s="11"/>
      <c r="CZ300" s="11"/>
      <c r="DA300" s="11"/>
      <c r="DB300" s="11"/>
      <c r="DC300" s="11"/>
      <c r="DD300" s="11"/>
      <c r="DE300" s="11"/>
      <c r="DF300" s="11"/>
      <c r="DG300" s="11"/>
      <c r="DH300" s="11"/>
    </row>
    <row r="301" spans="1:112">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D301" s="11"/>
      <c r="CE301" s="11"/>
      <c r="CF301" s="11"/>
      <c r="CG301" s="11"/>
      <c r="CH301" s="11"/>
      <c r="CI301" s="11"/>
      <c r="CJ301" s="11"/>
      <c r="CK301" s="11"/>
      <c r="CL301" s="11"/>
      <c r="CM301" s="11"/>
      <c r="CN301" s="11"/>
      <c r="CO301" s="11"/>
      <c r="CP301" s="11"/>
      <c r="CQ301" s="11"/>
      <c r="CR301" s="11"/>
      <c r="CS301" s="11"/>
      <c r="CT301" s="11"/>
      <c r="CU301" s="11"/>
      <c r="CV301" s="11"/>
      <c r="CW301" s="11"/>
      <c r="CX301" s="11"/>
      <c r="CY301" s="11"/>
      <c r="CZ301" s="11"/>
      <c r="DA301" s="11"/>
      <c r="DB301" s="11"/>
      <c r="DC301" s="11"/>
      <c r="DD301" s="11"/>
      <c r="DE301" s="11"/>
      <c r="DF301" s="11"/>
      <c r="DG301" s="11"/>
      <c r="DH301" s="11"/>
    </row>
    <row r="302" spans="1:112">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CW302" s="11"/>
      <c r="CX302" s="11"/>
      <c r="CY302" s="11"/>
      <c r="CZ302" s="11"/>
      <c r="DA302" s="11"/>
      <c r="DB302" s="11"/>
      <c r="DC302" s="11"/>
      <c r="DD302" s="11"/>
      <c r="DE302" s="11"/>
      <c r="DF302" s="11"/>
      <c r="DG302" s="11"/>
      <c r="DH302" s="11"/>
    </row>
    <row r="303" spans="1:112">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D303" s="11"/>
      <c r="CE303" s="11"/>
      <c r="CF303" s="11"/>
      <c r="CG303" s="11"/>
      <c r="CH303" s="11"/>
      <c r="CI303" s="11"/>
      <c r="CJ303" s="11"/>
      <c r="CK303" s="11"/>
      <c r="CL303" s="11"/>
      <c r="CM303" s="11"/>
      <c r="CN303" s="11"/>
      <c r="CO303" s="11"/>
      <c r="CP303" s="11"/>
      <c r="CQ303" s="11"/>
      <c r="CR303" s="11"/>
      <c r="CS303" s="11"/>
      <c r="CT303" s="11"/>
      <c r="CU303" s="11"/>
      <c r="CV303" s="11"/>
      <c r="CW303" s="11"/>
      <c r="CX303" s="11"/>
      <c r="CY303" s="11"/>
      <c r="CZ303" s="11"/>
      <c r="DA303" s="11"/>
      <c r="DB303" s="11"/>
      <c r="DC303" s="11"/>
      <c r="DD303" s="11"/>
      <c r="DE303" s="11"/>
      <c r="DF303" s="11"/>
      <c r="DG303" s="11"/>
      <c r="DH303" s="11"/>
    </row>
    <row r="304" spans="1:112">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D304" s="11"/>
      <c r="CE304" s="11"/>
      <c r="CF304" s="11"/>
      <c r="CG304" s="11"/>
      <c r="CH304" s="11"/>
      <c r="CI304" s="11"/>
      <c r="CJ304" s="11"/>
      <c r="CK304" s="11"/>
      <c r="CL304" s="11"/>
      <c r="CM304" s="11"/>
      <c r="CN304" s="11"/>
      <c r="CO304" s="11"/>
      <c r="CP304" s="11"/>
      <c r="CQ304" s="11"/>
      <c r="CR304" s="11"/>
      <c r="CS304" s="11"/>
      <c r="CT304" s="11"/>
      <c r="CU304" s="11"/>
      <c r="CV304" s="11"/>
      <c r="CW304" s="11"/>
      <c r="CX304" s="11"/>
      <c r="CY304" s="11"/>
      <c r="CZ304" s="11"/>
      <c r="DA304" s="11"/>
      <c r="DB304" s="11"/>
      <c r="DC304" s="11"/>
      <c r="DD304" s="11"/>
      <c r="DE304" s="11"/>
      <c r="DF304" s="11"/>
      <c r="DG304" s="11"/>
      <c r="DH304" s="11"/>
    </row>
    <row r="305" spans="1:112">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D305" s="11"/>
      <c r="CE305" s="11"/>
      <c r="CF305" s="11"/>
      <c r="CG305" s="11"/>
      <c r="CH305" s="11"/>
      <c r="CI305" s="11"/>
      <c r="CJ305" s="11"/>
      <c r="CK305" s="11"/>
      <c r="CL305" s="11"/>
      <c r="CM305" s="11"/>
      <c r="CN305" s="11"/>
      <c r="CO305" s="11"/>
      <c r="CP305" s="11"/>
      <c r="CQ305" s="11"/>
      <c r="CR305" s="11"/>
      <c r="CS305" s="11"/>
      <c r="CT305" s="11"/>
      <c r="CU305" s="11"/>
      <c r="CV305" s="11"/>
      <c r="CW305" s="11"/>
      <c r="CX305" s="11"/>
      <c r="CY305" s="11"/>
      <c r="CZ305" s="11"/>
      <c r="DA305" s="11"/>
      <c r="DB305" s="11"/>
      <c r="DC305" s="11"/>
      <c r="DD305" s="11"/>
      <c r="DE305" s="11"/>
      <c r="DF305" s="11"/>
      <c r="DG305" s="11"/>
      <c r="DH305" s="11"/>
    </row>
    <row r="306" spans="1:112">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c r="CE306" s="11"/>
      <c r="CF306" s="11"/>
      <c r="CG306" s="11"/>
      <c r="CH306" s="11"/>
      <c r="CI306" s="11"/>
      <c r="CJ306" s="11"/>
      <c r="CK306" s="11"/>
      <c r="CL306" s="11"/>
      <c r="CM306" s="11"/>
      <c r="CN306" s="11"/>
      <c r="CO306" s="11"/>
      <c r="CP306" s="11"/>
      <c r="CQ306" s="11"/>
      <c r="CR306" s="11"/>
      <c r="CS306" s="11"/>
      <c r="CT306" s="11"/>
      <c r="CU306" s="11"/>
      <c r="CV306" s="11"/>
      <c r="CW306" s="11"/>
      <c r="CX306" s="11"/>
      <c r="CY306" s="11"/>
      <c r="CZ306" s="11"/>
      <c r="DA306" s="11"/>
      <c r="DB306" s="11"/>
      <c r="DC306" s="11"/>
      <c r="DD306" s="11"/>
      <c r="DE306" s="11"/>
      <c r="DF306" s="11"/>
      <c r="DG306" s="11"/>
      <c r="DH306" s="11"/>
    </row>
    <row r="307" spans="1:112">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D307" s="11"/>
      <c r="CE307" s="11"/>
      <c r="CF307" s="11"/>
      <c r="CG307" s="11"/>
      <c r="CH307" s="11"/>
      <c r="CI307" s="11"/>
      <c r="CJ307" s="11"/>
      <c r="CK307" s="11"/>
      <c r="CL307" s="11"/>
      <c r="CM307" s="11"/>
      <c r="CN307" s="11"/>
      <c r="CO307" s="11"/>
      <c r="CP307" s="11"/>
      <c r="CQ307" s="11"/>
      <c r="CR307" s="11"/>
      <c r="CS307" s="11"/>
      <c r="CT307" s="11"/>
      <c r="CU307" s="11"/>
      <c r="CV307" s="11"/>
      <c r="CW307" s="11"/>
      <c r="CX307" s="11"/>
      <c r="CY307" s="11"/>
      <c r="CZ307" s="11"/>
      <c r="DA307" s="11"/>
      <c r="DB307" s="11"/>
      <c r="DC307" s="11"/>
      <c r="DD307" s="11"/>
      <c r="DE307" s="11"/>
      <c r="DF307" s="11"/>
      <c r="DG307" s="11"/>
      <c r="DH307" s="11"/>
    </row>
    <row r="308" spans="1:112">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c r="CE308" s="11"/>
      <c r="CF308" s="11"/>
      <c r="CG308" s="11"/>
      <c r="CH308" s="11"/>
      <c r="CI308" s="11"/>
      <c r="CJ308" s="11"/>
      <c r="CK308" s="11"/>
      <c r="CL308" s="11"/>
      <c r="CM308" s="11"/>
      <c r="CN308" s="11"/>
      <c r="CO308" s="11"/>
      <c r="CP308" s="11"/>
      <c r="CQ308" s="11"/>
      <c r="CR308" s="11"/>
      <c r="CS308" s="11"/>
      <c r="CT308" s="11"/>
      <c r="CU308" s="11"/>
      <c r="CV308" s="11"/>
      <c r="CW308" s="11"/>
      <c r="CX308" s="11"/>
      <c r="CY308" s="11"/>
      <c r="CZ308" s="11"/>
      <c r="DA308" s="11"/>
      <c r="DB308" s="11"/>
      <c r="DC308" s="11"/>
      <c r="DD308" s="11"/>
      <c r="DE308" s="11"/>
      <c r="DF308" s="11"/>
      <c r="DG308" s="11"/>
      <c r="DH308" s="11"/>
    </row>
    <row r="309" spans="1:112">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D309" s="11"/>
      <c r="CE309" s="11"/>
      <c r="CF309" s="11"/>
      <c r="CG309" s="11"/>
      <c r="CH309" s="11"/>
      <c r="CI309" s="11"/>
      <c r="CJ309" s="11"/>
      <c r="CK309" s="11"/>
      <c r="CL309" s="11"/>
      <c r="CM309" s="11"/>
      <c r="CN309" s="11"/>
      <c r="CO309" s="11"/>
      <c r="CP309" s="11"/>
      <c r="CQ309" s="11"/>
      <c r="CR309" s="11"/>
      <c r="CS309" s="11"/>
      <c r="CT309" s="11"/>
      <c r="CU309" s="11"/>
      <c r="CV309" s="11"/>
      <c r="CW309" s="11"/>
      <c r="CX309" s="11"/>
      <c r="CY309" s="11"/>
      <c r="CZ309" s="11"/>
      <c r="DA309" s="11"/>
      <c r="DB309" s="11"/>
      <c r="DC309" s="11"/>
      <c r="DD309" s="11"/>
      <c r="DE309" s="11"/>
      <c r="DF309" s="11"/>
      <c r="DG309" s="11"/>
      <c r="DH309" s="11"/>
    </row>
    <row r="310" spans="1:112">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row>
    <row r="311" spans="1:112">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D311" s="11"/>
      <c r="CE311" s="11"/>
      <c r="CF311" s="11"/>
      <c r="CG311" s="11"/>
      <c r="CH311" s="11"/>
      <c r="CI311" s="11"/>
      <c r="CJ311" s="11"/>
      <c r="CK311" s="11"/>
      <c r="CL311" s="11"/>
      <c r="CM311" s="11"/>
      <c r="CN311" s="11"/>
      <c r="CO311" s="11"/>
      <c r="CP311" s="11"/>
      <c r="CQ311" s="11"/>
      <c r="CR311" s="11"/>
      <c r="CS311" s="11"/>
      <c r="CT311" s="11"/>
      <c r="CU311" s="11"/>
      <c r="CV311" s="11"/>
      <c r="CW311" s="11"/>
      <c r="CX311" s="11"/>
      <c r="CY311" s="11"/>
      <c r="CZ311" s="11"/>
      <c r="DA311" s="11"/>
      <c r="DB311" s="11"/>
      <c r="DC311" s="11"/>
      <c r="DD311" s="11"/>
      <c r="DE311" s="11"/>
      <c r="DF311" s="11"/>
      <c r="DG311" s="11"/>
      <c r="DH311" s="11"/>
    </row>
    <row r="312" spans="1:112">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c r="CE312" s="11"/>
      <c r="CF312" s="11"/>
      <c r="CG312" s="11"/>
      <c r="CH312" s="11"/>
      <c r="CI312" s="11"/>
      <c r="CJ312" s="11"/>
      <c r="CK312" s="11"/>
      <c r="CL312" s="11"/>
      <c r="CM312" s="11"/>
      <c r="CN312" s="11"/>
      <c r="CO312" s="11"/>
      <c r="CP312" s="11"/>
      <c r="CQ312" s="11"/>
      <c r="CR312" s="11"/>
      <c r="CS312" s="11"/>
      <c r="CT312" s="11"/>
      <c r="CU312" s="11"/>
      <c r="CV312" s="11"/>
      <c r="CW312" s="11"/>
      <c r="CX312" s="11"/>
      <c r="CY312" s="11"/>
      <c r="CZ312" s="11"/>
      <c r="DA312" s="11"/>
      <c r="DB312" s="11"/>
      <c r="DC312" s="11"/>
      <c r="DD312" s="11"/>
      <c r="DE312" s="11"/>
      <c r="DF312" s="11"/>
      <c r="DG312" s="11"/>
      <c r="DH312" s="11"/>
    </row>
    <row r="313" spans="1:112">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D313" s="11"/>
      <c r="CE313" s="11"/>
      <c r="CF313" s="11"/>
      <c r="CG313" s="11"/>
      <c r="CH313" s="11"/>
      <c r="CI313" s="11"/>
      <c r="CJ313" s="11"/>
      <c r="CK313" s="11"/>
      <c r="CL313" s="11"/>
      <c r="CM313" s="11"/>
      <c r="CN313" s="11"/>
      <c r="CO313" s="11"/>
      <c r="CP313" s="11"/>
      <c r="CQ313" s="11"/>
      <c r="CR313" s="11"/>
      <c r="CS313" s="11"/>
      <c r="CT313" s="11"/>
      <c r="CU313" s="11"/>
      <c r="CV313" s="11"/>
      <c r="CW313" s="11"/>
      <c r="CX313" s="11"/>
      <c r="CY313" s="11"/>
      <c r="CZ313" s="11"/>
      <c r="DA313" s="11"/>
      <c r="DB313" s="11"/>
      <c r="DC313" s="11"/>
      <c r="DD313" s="11"/>
      <c r="DE313" s="11"/>
      <c r="DF313" s="11"/>
      <c r="DG313" s="11"/>
      <c r="DH313" s="11"/>
    </row>
    <row r="314" spans="1:112">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c r="CE314" s="11"/>
      <c r="CF314" s="11"/>
      <c r="CG314" s="11"/>
      <c r="CH314" s="11"/>
      <c r="CI314" s="11"/>
      <c r="CJ314" s="11"/>
      <c r="CK314" s="11"/>
      <c r="CL314" s="11"/>
      <c r="CM314" s="11"/>
      <c r="CN314" s="11"/>
      <c r="CO314" s="11"/>
      <c r="CP314" s="11"/>
      <c r="CQ314" s="11"/>
      <c r="CR314" s="11"/>
      <c r="CS314" s="11"/>
      <c r="CT314" s="11"/>
      <c r="CU314" s="11"/>
      <c r="CV314" s="11"/>
      <c r="CW314" s="11"/>
      <c r="CX314" s="11"/>
      <c r="CY314" s="11"/>
      <c r="CZ314" s="11"/>
      <c r="DA314" s="11"/>
      <c r="DB314" s="11"/>
      <c r="DC314" s="11"/>
      <c r="DD314" s="11"/>
      <c r="DE314" s="11"/>
      <c r="DF314" s="11"/>
      <c r="DG314" s="11"/>
      <c r="DH314" s="11"/>
    </row>
    <row r="315" spans="1:112">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c r="CE315" s="11"/>
      <c r="CF315" s="11"/>
      <c r="CG315" s="11"/>
      <c r="CH315" s="11"/>
      <c r="CI315" s="11"/>
      <c r="CJ315" s="11"/>
      <c r="CK315" s="11"/>
      <c r="CL315" s="11"/>
      <c r="CM315" s="11"/>
      <c r="CN315" s="11"/>
      <c r="CO315" s="11"/>
      <c r="CP315" s="11"/>
      <c r="CQ315" s="11"/>
      <c r="CR315" s="11"/>
      <c r="CS315" s="11"/>
      <c r="CT315" s="11"/>
      <c r="CU315" s="11"/>
      <c r="CV315" s="11"/>
      <c r="CW315" s="11"/>
      <c r="CX315" s="11"/>
      <c r="CY315" s="11"/>
      <c r="CZ315" s="11"/>
      <c r="DA315" s="11"/>
      <c r="DB315" s="11"/>
      <c r="DC315" s="11"/>
      <c r="DD315" s="11"/>
      <c r="DE315" s="11"/>
      <c r="DF315" s="11"/>
      <c r="DG315" s="11"/>
      <c r="DH315" s="11"/>
    </row>
    <row r="316" spans="1:112">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c r="CE316" s="11"/>
      <c r="CF316" s="11"/>
      <c r="CG316" s="11"/>
      <c r="CH316" s="11"/>
      <c r="CI316" s="11"/>
      <c r="CJ316" s="11"/>
      <c r="CK316" s="11"/>
      <c r="CL316" s="11"/>
      <c r="CM316" s="11"/>
      <c r="CN316" s="11"/>
      <c r="CO316" s="11"/>
      <c r="CP316" s="11"/>
      <c r="CQ316" s="11"/>
      <c r="CR316" s="11"/>
      <c r="CS316" s="11"/>
      <c r="CT316" s="11"/>
      <c r="CU316" s="11"/>
      <c r="CV316" s="11"/>
      <c r="CW316" s="11"/>
      <c r="CX316" s="11"/>
      <c r="CY316" s="11"/>
      <c r="CZ316" s="11"/>
      <c r="DA316" s="11"/>
      <c r="DB316" s="11"/>
      <c r="DC316" s="11"/>
      <c r="DD316" s="11"/>
      <c r="DE316" s="11"/>
      <c r="DF316" s="11"/>
      <c r="DG316" s="11"/>
      <c r="DH316" s="11"/>
    </row>
    <row r="317" spans="1:112">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F317" s="11"/>
      <c r="CG317" s="11"/>
      <c r="CH317" s="11"/>
      <c r="CI317" s="11"/>
      <c r="CJ317" s="11"/>
      <c r="CK317" s="11"/>
      <c r="CL317" s="11"/>
      <c r="CM317" s="11"/>
      <c r="CN317" s="11"/>
      <c r="CO317" s="11"/>
      <c r="CP317" s="11"/>
      <c r="CQ317" s="11"/>
      <c r="CR317" s="11"/>
      <c r="CS317" s="11"/>
      <c r="CT317" s="11"/>
      <c r="CU317" s="11"/>
      <c r="CV317" s="11"/>
      <c r="CW317" s="11"/>
      <c r="CX317" s="11"/>
      <c r="CY317" s="11"/>
      <c r="CZ317" s="11"/>
      <c r="DA317" s="11"/>
      <c r="DB317" s="11"/>
      <c r="DC317" s="11"/>
      <c r="DD317" s="11"/>
      <c r="DE317" s="11"/>
      <c r="DF317" s="11"/>
      <c r="DG317" s="11"/>
      <c r="DH317" s="11"/>
    </row>
    <row r="318" spans="1:112">
      <c r="CN318" s="11"/>
      <c r="CO318" s="11"/>
      <c r="CP318" s="11"/>
      <c r="CQ318" s="11"/>
      <c r="CR318" s="11"/>
      <c r="CS318" s="11"/>
      <c r="CT318" s="11"/>
      <c r="CU318" s="11"/>
      <c r="CV318" s="11"/>
      <c r="CW318" s="11"/>
      <c r="CX318" s="11"/>
      <c r="CY318" s="11"/>
      <c r="CZ318" s="11"/>
      <c r="DA318" s="11"/>
      <c r="DB318" s="11"/>
      <c r="DC318" s="11"/>
      <c r="DD318" s="11"/>
      <c r="DE318" s="11"/>
      <c r="DF318" s="11"/>
      <c r="DG318" s="11"/>
      <c r="DH318" s="11"/>
    </row>
  </sheetData>
  <sheetProtection algorithmName="SHA-512" hashValue="vO2SbI2biSAmiFN+6DZho0HsgYWbJ23mwtmCK4as+xu5LP8oiP6x/y3QDtg260WTmOvFtRhzchGmaru+7OKY8A==" saltValue="k7NH4IT4esRAFKh091/aTA==" spinCount="100000" sheet="1" selectLockedCells="1"/>
  <mergeCells count="88">
    <mergeCell ref="BS8:BS10"/>
    <mergeCell ref="G28:H28"/>
    <mergeCell ref="BL8:BL10"/>
    <mergeCell ref="T7:AB7"/>
    <mergeCell ref="AE10:AF10"/>
    <mergeCell ref="AI10:AJ10"/>
    <mergeCell ref="AI8:AK9"/>
    <mergeCell ref="AE8:AG9"/>
    <mergeCell ref="AH8:AH10"/>
    <mergeCell ref="J8:J10"/>
    <mergeCell ref="K8:K10"/>
    <mergeCell ref="H8:H10"/>
    <mergeCell ref="T8:T10"/>
    <mergeCell ref="AD8:AD10"/>
    <mergeCell ref="AC8:AC10"/>
    <mergeCell ref="BB8:BB10"/>
    <mergeCell ref="D7:G7"/>
    <mergeCell ref="D44:I44"/>
    <mergeCell ref="CC8:CC10"/>
    <mergeCell ref="CD8:CD10"/>
    <mergeCell ref="CE8:CE10"/>
    <mergeCell ref="AS9:AS10"/>
    <mergeCell ref="AT9:AT10"/>
    <mergeCell ref="BO8:BO10"/>
    <mergeCell ref="BP8:BP10"/>
    <mergeCell ref="CA8:CA10"/>
    <mergeCell ref="CB8:CB10"/>
    <mergeCell ref="BX8:BX10"/>
    <mergeCell ref="AZ8:AZ10"/>
    <mergeCell ref="BG8:BG10"/>
    <mergeCell ref="BZ8:BZ10"/>
    <mergeCell ref="BW8:BW10"/>
    <mergeCell ref="BK8:BK10"/>
    <mergeCell ref="BM8:BM10"/>
    <mergeCell ref="AW9:AW10"/>
    <mergeCell ref="AX9:AX10"/>
    <mergeCell ref="AV9:AV10"/>
    <mergeCell ref="AY8:AY10"/>
    <mergeCell ref="BD8:BD10"/>
    <mergeCell ref="BC8:BC10"/>
    <mergeCell ref="BM7:BN7"/>
    <mergeCell ref="BA8:BA10"/>
    <mergeCell ref="BJ8:BJ10"/>
    <mergeCell ref="H7:I7"/>
    <mergeCell ref="AL9:AL10"/>
    <mergeCell ref="N9:N10"/>
    <mergeCell ref="O9:O10"/>
    <mergeCell ref="W8:W10"/>
    <mergeCell ref="X8:X10"/>
    <mergeCell ref="L8:L10"/>
    <mergeCell ref="M8:M10"/>
    <mergeCell ref="Z8:Z10"/>
    <mergeCell ref="AA8:AA10"/>
    <mergeCell ref="AB8:AB10"/>
    <mergeCell ref="P9:P10"/>
    <mergeCell ref="R9:R10"/>
    <mergeCell ref="S9:S10"/>
    <mergeCell ref="N8:S8"/>
    <mergeCell ref="AL8:AQ8"/>
    <mergeCell ref="B8:B10"/>
    <mergeCell ref="C8:C10"/>
    <mergeCell ref="D8:D10"/>
    <mergeCell ref="I8:I10"/>
    <mergeCell ref="G8:G10"/>
    <mergeCell ref="E8:E10"/>
    <mergeCell ref="F8:F10"/>
    <mergeCell ref="Q9:Q10"/>
    <mergeCell ref="AM9:AM10"/>
    <mergeCell ref="AN9:AN10"/>
    <mergeCell ref="AO9:AO10"/>
    <mergeCell ref="AP9:AP10"/>
    <mergeCell ref="AQ9:AQ10"/>
    <mergeCell ref="BQ7:BQ10"/>
    <mergeCell ref="BR7:BR10"/>
    <mergeCell ref="U8:U10"/>
    <mergeCell ref="BY8:BY10"/>
    <mergeCell ref="BT8:BT10"/>
    <mergeCell ref="BU8:BU10"/>
    <mergeCell ref="BV8:BV10"/>
    <mergeCell ref="BN8:BN10"/>
    <mergeCell ref="BI8:BI10"/>
    <mergeCell ref="BH8:BH10"/>
    <mergeCell ref="BE8:BE10"/>
    <mergeCell ref="BF8:BF10"/>
    <mergeCell ref="V8:V10"/>
    <mergeCell ref="BD7:BG7"/>
    <mergeCell ref="AU9:AU10"/>
    <mergeCell ref="AR9:AR10"/>
  </mergeCells>
  <phoneticPr fontId="61" type="noConversion"/>
  <conditionalFormatting sqref="H12:I19">
    <cfRule type="expression" dxfId="20" priority="13" stopIfTrue="1">
      <formula>IF($D12="New Construction", TRUE, FALSE)</formula>
    </cfRule>
  </conditionalFormatting>
  <conditionalFormatting sqref="J12:M19">
    <cfRule type="expression" dxfId="19" priority="286">
      <formula>IF($BH12="Yes", TRUE, FALSE)</formula>
    </cfRule>
  </conditionalFormatting>
  <conditionalFormatting sqref="BT12:CB19">
    <cfRule type="expression" dxfId="18" priority="285" stopIfTrue="1">
      <formula>IF($CB12="No", TRUE, FALSE)</formula>
    </cfRule>
  </conditionalFormatting>
  <dataValidations count="17">
    <dataValidation type="list" allowBlank="1" showInputMessage="1" showErrorMessage="1" sqref="F12:F19" xr:uid="{D9B8364B-03AB-4F99-9BA2-43547DAAEBDB}">
      <formula1>Zip_Code</formula1>
    </dataValidation>
    <dataValidation type="list" allowBlank="1" showInputMessage="1" showErrorMessage="1" sqref="N12:N19 AL12:AL19" xr:uid="{00000000-0002-0000-0600-000002000000}">
      <formula1>$C$62:$C$70</formula1>
    </dataValidation>
    <dataValidation type="list" allowBlank="1" showInputMessage="1" showErrorMessage="1" sqref="V12:V19" xr:uid="{00000000-0002-0000-0600-000003000000}">
      <formula1>$C$51:$C$56</formula1>
    </dataValidation>
    <dataValidation type="list" allowBlank="1" showInputMessage="1" showErrorMessage="1" sqref="O12:O19" xr:uid="{00000000-0002-0000-0600-000004000000}">
      <formula1>D$51:D$52</formula1>
    </dataValidation>
    <dataValidation type="list" allowBlank="1" showInputMessage="1" showErrorMessage="1" sqref="AN12:AN19 P12:P19" xr:uid="{00000000-0002-0000-0600-000005000000}">
      <formula1>$E$51:$E$54</formula1>
    </dataValidation>
    <dataValidation type="list" allowBlank="1" showInputMessage="1" showErrorMessage="1" sqref="AM12:AM19" xr:uid="{00000000-0002-0000-0600-000006000000}">
      <formula1>D$51:D$52</formula1>
    </dataValidation>
    <dataValidation type="list" allowBlank="1" showInputMessage="1" showErrorMessage="1" sqref="I12:I19" xr:uid="{00000000-0002-0000-0600-000007000000}">
      <formula1>$I$51:$I$58</formula1>
    </dataValidation>
    <dataValidation type="decimal" allowBlank="1" showInputMessage="1" showErrorMessage="1" errorTitle="EER valued entered out of range" error="Please enter in the proposed full load cooling efficiency (EER).  This rating should be between 0 and 30 EER." sqref="AG12:AG19" xr:uid="{00000000-0002-0000-0600-000008000000}">
      <formula1>0</formula1>
      <formula2>30</formula2>
    </dataValidation>
    <dataValidation type="decimal" allowBlank="1" showInputMessage="1" showErrorMessage="1" errorTitle="COP value entered out of range" error="Enter the COP rating of the new equipment.  The COP rating should be between 0 and 15.  " sqref="AK12:AK19" xr:uid="{00000000-0002-0000-0600-000009000000}">
      <formula1>0</formula1>
      <formula2>15</formula2>
    </dataValidation>
    <dataValidation type="decimal" allowBlank="1" showInputMessage="1" showErrorMessage="1" errorTitle="Value out of range" error="The value entered for the Motor Load Factor is out of range.  Enter a number between 0 and 100." sqref="AO12:AO19 Q12:Q19" xr:uid="{00000000-0002-0000-0600-00000A000000}">
      <formula1>0</formula1>
      <formula2>1</formula2>
    </dataValidation>
    <dataValidation type="decimal" allowBlank="1" showInputMessage="1" showErrorMessage="1" errorTitle="Value out of range" error="The value entered for the Motor Efficiency is out of range.  Enter a number between 0 and 100." sqref="AP12:AP19 R12:R19" xr:uid="{00000000-0002-0000-0600-00000B000000}">
      <formula1>0</formula1>
      <formula2>1</formula2>
    </dataValidation>
    <dataValidation type="decimal" allowBlank="1" showInputMessage="1" showErrorMessage="1" errorTitle="Value out of range" error="The value entered for the Pump Efficiency is out of range.  Enter a number between 0 and 100." sqref="AQ12:AR19 S12:S19" xr:uid="{00000000-0002-0000-0600-00000C000000}">
      <formula1>0</formula1>
      <formula2>1</formula2>
    </dataValidation>
    <dataValidation type="decimal" allowBlank="1" showInputMessage="1" showErrorMessage="1" errorTitle="Value out of range" error="Enter the existing EER rating if known.  The EER should be between 0 and 30." sqref="J12:J19" xr:uid="{00000000-0002-0000-0600-00000D000000}">
      <formula1>0</formula1>
      <formula2>30</formula2>
    </dataValidation>
    <dataValidation type="decimal" allowBlank="1" showInputMessage="1" showErrorMessage="1" errorTitle="Value out of range" error="Enter the existing IEER rating if known.  The IEER should be between 0 and 30." sqref="K12:K19" xr:uid="{00000000-0002-0000-0600-00000E000000}">
      <formula1>0</formula1>
      <formula2>30</formula2>
    </dataValidation>
    <dataValidation type="decimal" allowBlank="1" showInputMessage="1" showErrorMessage="1" errorTitle="Value out of range" error="Enter the proposed IEER rating of the proposed equipment.  The IEER should be between 0 and 30." sqref="AH12:AH19" xr:uid="{00000000-0002-0000-0600-00000F000000}">
      <formula1>0</formula1>
      <formula2>30</formula2>
    </dataValidation>
    <dataValidation type="list" allowBlank="1" showInputMessage="1" showErrorMessage="1" sqref="E12:E19" xr:uid="{00000000-0002-0000-0600-000010000000}">
      <formula1>Facility_Types</formula1>
    </dataValidation>
    <dataValidation type="list" allowBlank="1" showInputMessage="1" showErrorMessage="1" sqref="D12:D19" xr:uid="{EF985232-F7AC-4F30-B52E-8B3529D97AF3}">
      <formula1>Project_Type</formula1>
    </dataValidation>
  </dataValidation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R346"/>
  <sheetViews>
    <sheetView zoomScaleNormal="100" workbookViewId="0">
      <selection activeCell="D11" sqref="D11"/>
    </sheetView>
  </sheetViews>
  <sheetFormatPr defaultRowHeight="15"/>
  <cols>
    <col min="1" max="1" width="1.42578125" customWidth="1"/>
    <col min="2" max="2" width="6.85546875" customWidth="1"/>
    <col min="3" max="3" width="37.42578125" bestFit="1" customWidth="1"/>
    <col min="4" max="4" width="20" customWidth="1"/>
    <col min="5" max="5" width="35.7109375" customWidth="1"/>
    <col min="6" max="6" width="16.42578125" customWidth="1"/>
    <col min="7" max="7" width="18" customWidth="1"/>
    <col min="8" max="8" width="16.28515625" customWidth="1"/>
    <col min="9" max="9" width="36" bestFit="1" customWidth="1"/>
    <col min="10" max="10" width="29.42578125" customWidth="1"/>
    <col min="11" max="12" width="11.7109375" customWidth="1"/>
    <col min="13" max="14" width="17" customWidth="1"/>
    <col min="15" max="16" width="16.42578125" customWidth="1"/>
    <col min="17" max="18" width="14.7109375" customWidth="1"/>
    <col min="19" max="19" width="17.85546875" customWidth="1"/>
    <col min="20" max="21" width="12.28515625" hidden="1" customWidth="1"/>
    <col min="22" max="23" width="10.5703125" hidden="1" customWidth="1"/>
    <col min="24" max="24" width="10" hidden="1" customWidth="1"/>
    <col min="25" max="26" width="8.28515625" customWidth="1"/>
    <col min="27" max="27" width="8.5703125" bestFit="1" customWidth="1"/>
    <col min="28" max="28" width="14.7109375" hidden="1" customWidth="1"/>
    <col min="29" max="30" width="8.28515625" customWidth="1"/>
    <col min="31" max="31" width="8.5703125" bestFit="1" customWidth="1"/>
    <col min="32" max="32" width="10.42578125" hidden="1" customWidth="1"/>
    <col min="33" max="34" width="8.28515625" customWidth="1"/>
    <col min="35" max="35" width="10.5703125" customWidth="1"/>
    <col min="36" max="36" width="11.140625" hidden="1" customWidth="1"/>
    <col min="37" max="37" width="12.7109375" customWidth="1"/>
    <col min="38" max="38" width="16.42578125" customWidth="1"/>
    <col min="39" max="39" width="7.7109375" hidden="1" customWidth="1"/>
    <col min="40" max="40" width="7.85546875" hidden="1" customWidth="1"/>
    <col min="41" max="41" width="16.140625" customWidth="1"/>
    <col min="42" max="42" width="15.28515625" hidden="1" customWidth="1"/>
    <col min="43" max="43" width="13.42578125" bestFit="1" customWidth="1"/>
    <col min="44" max="44" width="17.140625" customWidth="1"/>
    <col min="45" max="45" width="13.28515625" hidden="1" customWidth="1"/>
    <col min="46" max="46" width="12.7109375" hidden="1" customWidth="1"/>
    <col min="47" max="47" width="32.140625" hidden="1" customWidth="1"/>
    <col min="48" max="51" width="12.7109375" hidden="1" customWidth="1"/>
    <col min="52" max="52" width="13" hidden="1" customWidth="1"/>
    <col min="55" max="55" width="28.42578125" customWidth="1"/>
    <col min="56" max="56" width="29.7109375" customWidth="1"/>
    <col min="57" max="57" width="28.42578125" customWidth="1"/>
    <col min="58" max="58" width="12" customWidth="1"/>
    <col min="62" max="62" width="14.85546875" customWidth="1"/>
    <col min="65" max="65" width="10.85546875" customWidth="1"/>
    <col min="66" max="70" width="15.42578125" customWidth="1"/>
  </cols>
  <sheetData>
    <row r="1" spans="1:70" ht="29.25" customHeight="1">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row>
    <row r="2" spans="1:70" ht="29.25" customHeight="1">
      <c r="A2" s="11"/>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1"/>
      <c r="AV2" s="11"/>
      <c r="AW2" s="11"/>
      <c r="AX2" s="11"/>
      <c r="AY2" s="11"/>
      <c r="AZ2" s="11"/>
      <c r="BA2" s="11"/>
      <c r="BB2" s="11"/>
      <c r="BC2" s="11"/>
      <c r="BD2" s="11"/>
      <c r="BE2" s="11"/>
      <c r="BF2" s="11"/>
      <c r="BG2" s="11"/>
      <c r="BH2" s="11"/>
      <c r="BI2" s="11"/>
      <c r="BJ2" s="11"/>
      <c r="BK2" s="11"/>
      <c r="BL2" s="11"/>
      <c r="BM2" s="11"/>
      <c r="BN2" s="11"/>
      <c r="BO2" s="11"/>
      <c r="BP2" s="11"/>
      <c r="BQ2" s="11"/>
      <c r="BR2" s="11"/>
    </row>
    <row r="3" spans="1:70" ht="29.25" customHeight="1">
      <c r="A3" s="11"/>
      <c r="B3" s="266"/>
      <c r="C3" s="266"/>
      <c r="D3" s="198"/>
      <c r="E3" s="198"/>
      <c r="F3" s="198"/>
      <c r="G3" s="198"/>
      <c r="H3" s="198"/>
      <c r="I3" s="198"/>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199"/>
      <c r="AT3" s="199"/>
      <c r="AU3" s="164"/>
      <c r="AV3" s="11"/>
      <c r="AW3" s="11"/>
      <c r="AX3" s="11"/>
      <c r="AY3" s="11"/>
      <c r="AZ3" s="11"/>
      <c r="BA3" s="11"/>
      <c r="BB3" s="11"/>
      <c r="BC3" s="11"/>
      <c r="BD3" s="11"/>
      <c r="BE3" s="11"/>
      <c r="BF3" s="11"/>
      <c r="BG3" s="11"/>
      <c r="BH3" s="11"/>
      <c r="BI3" s="11"/>
      <c r="BJ3" s="11"/>
      <c r="BK3" s="11"/>
      <c r="BL3" s="11"/>
      <c r="BM3" s="11"/>
      <c r="BN3" s="11"/>
      <c r="BO3" s="11"/>
      <c r="BP3" s="11"/>
      <c r="BQ3" s="11"/>
      <c r="BR3" s="11"/>
    </row>
    <row r="4" spans="1:70" ht="29.25" customHeight="1">
      <c r="A4" s="11"/>
      <c r="B4" s="164"/>
      <c r="C4" s="164"/>
      <c r="D4" s="198"/>
      <c r="E4" s="198"/>
      <c r="F4" s="198"/>
      <c r="G4" s="198"/>
      <c r="H4" s="198"/>
      <c r="I4" s="198"/>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1"/>
      <c r="AW4" s="11"/>
      <c r="AX4" s="11"/>
      <c r="AY4" s="11"/>
      <c r="AZ4" s="11"/>
      <c r="BA4" s="11"/>
      <c r="BB4" s="11"/>
      <c r="BC4" s="11"/>
      <c r="BD4" s="11"/>
      <c r="BE4" s="11"/>
      <c r="BF4" s="11"/>
      <c r="BG4" s="11"/>
      <c r="BH4" s="11"/>
      <c r="BI4" s="11"/>
      <c r="BJ4" s="11"/>
      <c r="BK4" s="11"/>
      <c r="BL4" s="11"/>
      <c r="BM4" s="11"/>
      <c r="BN4" s="11"/>
      <c r="BO4" s="11"/>
      <c r="BP4" s="11"/>
      <c r="BQ4" s="11"/>
      <c r="BR4" s="11"/>
    </row>
    <row r="5" spans="1:70" ht="1.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267"/>
      <c r="AM5" s="267"/>
      <c r="AN5" s="267"/>
      <c r="AO5" s="267"/>
      <c r="AP5" s="267"/>
      <c r="AQ5" s="267"/>
      <c r="AR5" s="267"/>
      <c r="AS5" s="267"/>
      <c r="AT5" s="267"/>
      <c r="AU5" s="11"/>
      <c r="AV5" s="11"/>
      <c r="AW5" s="11"/>
      <c r="AX5" s="11"/>
      <c r="AY5" s="11"/>
      <c r="AZ5" s="11"/>
      <c r="BA5" s="11"/>
      <c r="BB5" s="11"/>
      <c r="BC5" s="11"/>
      <c r="BD5" s="11"/>
      <c r="BE5" s="11"/>
      <c r="BF5" s="11"/>
      <c r="BG5" s="11"/>
      <c r="BH5" s="11"/>
      <c r="BI5" s="11"/>
      <c r="BJ5" s="11"/>
      <c r="BK5" s="11"/>
      <c r="BL5" s="11"/>
      <c r="BM5" s="11"/>
      <c r="BN5" s="11"/>
      <c r="BO5" s="11"/>
      <c r="BP5" s="11"/>
      <c r="BQ5" s="11"/>
      <c r="BR5" s="11"/>
    </row>
    <row r="6" spans="1:70" ht="14.25" customHeight="1">
      <c r="A6" s="11"/>
      <c r="B6" s="150"/>
      <c r="C6" s="150"/>
      <c r="D6" s="732" t="s">
        <v>177</v>
      </c>
      <c r="E6" s="727"/>
      <c r="F6" s="727"/>
      <c r="G6" s="736"/>
      <c r="H6" s="732" t="s">
        <v>324</v>
      </c>
      <c r="I6" s="727"/>
      <c r="J6" s="736"/>
      <c r="K6" s="727" t="s">
        <v>492</v>
      </c>
      <c r="L6" s="727"/>
      <c r="M6" s="727"/>
      <c r="N6" s="727"/>
      <c r="O6" s="727"/>
      <c r="P6" s="727"/>
      <c r="Q6" s="727"/>
      <c r="R6" s="727"/>
      <c r="S6" s="727"/>
      <c r="T6" s="268"/>
      <c r="U6" s="268"/>
      <c r="V6" s="268"/>
      <c r="W6" s="269"/>
      <c r="X6" s="269"/>
      <c r="Y6" s="233"/>
      <c r="Z6" s="229"/>
      <c r="AA6" s="229"/>
      <c r="AB6" s="230"/>
      <c r="AC6" s="233"/>
      <c r="AD6" s="229"/>
      <c r="AE6" s="229"/>
      <c r="AF6" s="230"/>
      <c r="AG6" s="233"/>
      <c r="AH6" s="229"/>
      <c r="AI6" s="229"/>
      <c r="AJ6" s="230"/>
      <c r="AK6" s="270"/>
      <c r="AL6" s="270"/>
      <c r="AM6" s="269"/>
      <c r="AN6" s="269"/>
      <c r="AO6" s="270"/>
      <c r="AP6" s="269"/>
      <c r="AQ6" s="270"/>
      <c r="AR6" s="270"/>
      <c r="AS6" s="269"/>
      <c r="AT6" s="269"/>
      <c r="AU6" s="269"/>
      <c r="AV6" s="146"/>
      <c r="AW6" s="146"/>
      <c r="AX6" s="146"/>
      <c r="AY6" s="146"/>
      <c r="AZ6" s="146"/>
      <c r="BA6" s="11"/>
      <c r="BB6" s="11"/>
      <c r="BC6" s="11"/>
      <c r="BD6" s="11"/>
      <c r="BE6" s="11"/>
      <c r="BF6" s="11"/>
      <c r="BG6" s="11"/>
      <c r="BH6" s="11"/>
      <c r="BI6" s="11"/>
      <c r="BJ6" s="11"/>
      <c r="BK6" s="11"/>
      <c r="BL6" s="11"/>
      <c r="BM6" s="11"/>
      <c r="BN6" s="11"/>
      <c r="BO6" s="11"/>
      <c r="BP6" s="11"/>
      <c r="BQ6" s="11"/>
      <c r="BR6" s="11"/>
    </row>
    <row r="7" spans="1:70" ht="14.25" customHeight="1">
      <c r="A7" s="11"/>
      <c r="B7" s="696" t="s">
        <v>64</v>
      </c>
      <c r="C7" s="696" t="s">
        <v>65</v>
      </c>
      <c r="D7" s="719" t="s">
        <v>115</v>
      </c>
      <c r="E7" s="696" t="s">
        <v>116</v>
      </c>
      <c r="F7" s="696" t="s">
        <v>117</v>
      </c>
      <c r="G7" s="712" t="s">
        <v>118</v>
      </c>
      <c r="H7" s="719" t="s">
        <v>329</v>
      </c>
      <c r="I7" s="696" t="s">
        <v>493</v>
      </c>
      <c r="J7" s="712" t="s">
        <v>494</v>
      </c>
      <c r="K7" s="696" t="s">
        <v>136</v>
      </c>
      <c r="L7" s="696" t="s">
        <v>402</v>
      </c>
      <c r="M7" s="696" t="s">
        <v>139</v>
      </c>
      <c r="N7" s="696" t="s">
        <v>186</v>
      </c>
      <c r="O7" s="696" t="s">
        <v>495</v>
      </c>
      <c r="P7" s="457"/>
      <c r="Q7" s="696" t="s">
        <v>496</v>
      </c>
      <c r="R7" s="696" t="s">
        <v>497</v>
      </c>
      <c r="S7" s="696" t="s">
        <v>498</v>
      </c>
      <c r="T7" s="698" t="s">
        <v>81</v>
      </c>
      <c r="U7" s="698" t="s">
        <v>499</v>
      </c>
      <c r="V7" s="698" t="s">
        <v>500</v>
      </c>
      <c r="W7" s="698" t="s">
        <v>501</v>
      </c>
      <c r="X7" s="698" t="s">
        <v>502</v>
      </c>
      <c r="Y7" s="719" t="s">
        <v>503</v>
      </c>
      <c r="Z7" s="696"/>
      <c r="AA7" s="696"/>
      <c r="AB7" s="712"/>
      <c r="AC7" s="719" t="s">
        <v>504</v>
      </c>
      <c r="AD7" s="696"/>
      <c r="AE7" s="696"/>
      <c r="AF7" s="712"/>
      <c r="AG7" s="719" t="s">
        <v>505</v>
      </c>
      <c r="AH7" s="696"/>
      <c r="AI7" s="696"/>
      <c r="AJ7" s="712"/>
      <c r="AK7" s="696" t="s">
        <v>179</v>
      </c>
      <c r="AL7" s="696" t="s">
        <v>506</v>
      </c>
      <c r="AM7" s="698" t="s">
        <v>507</v>
      </c>
      <c r="AN7" s="698" t="s">
        <v>508</v>
      </c>
      <c r="AO7" s="696" t="s">
        <v>88</v>
      </c>
      <c r="AP7" s="698" t="s">
        <v>204</v>
      </c>
      <c r="AQ7" s="696" t="s">
        <v>89</v>
      </c>
      <c r="AR7" s="696" t="s">
        <v>509</v>
      </c>
      <c r="AS7" s="698" t="s">
        <v>132</v>
      </c>
      <c r="AT7" s="698" t="s">
        <v>133</v>
      </c>
      <c r="AU7" s="698" t="s">
        <v>134</v>
      </c>
      <c r="AV7" s="146"/>
      <c r="AW7" s="146"/>
      <c r="AX7" s="146"/>
      <c r="AY7" s="146"/>
      <c r="AZ7" s="146"/>
      <c r="BA7" s="11"/>
      <c r="BB7" s="11"/>
      <c r="BC7" s="11"/>
      <c r="BD7" s="11"/>
      <c r="BE7" s="11"/>
      <c r="BF7" s="11"/>
      <c r="BG7" s="11"/>
      <c r="BH7" s="11"/>
      <c r="BI7" s="11"/>
      <c r="BJ7" s="11"/>
      <c r="BK7" s="11"/>
      <c r="BL7" s="11"/>
      <c r="BM7" s="11"/>
      <c r="BN7" s="11"/>
      <c r="BO7" s="11"/>
      <c r="BP7" s="11"/>
      <c r="BQ7" s="11"/>
      <c r="BR7" s="11"/>
    </row>
    <row r="8" spans="1:70" ht="14.25" customHeight="1">
      <c r="A8" s="11"/>
      <c r="B8" s="696"/>
      <c r="C8" s="696"/>
      <c r="D8" s="719"/>
      <c r="E8" s="696"/>
      <c r="F8" s="696"/>
      <c r="G8" s="712"/>
      <c r="H8" s="719"/>
      <c r="I8" s="696"/>
      <c r="J8" s="712"/>
      <c r="K8" s="696"/>
      <c r="L8" s="696"/>
      <c r="M8" s="696"/>
      <c r="N8" s="696"/>
      <c r="O8" s="696"/>
      <c r="P8" s="457" t="s">
        <v>354</v>
      </c>
      <c r="Q8" s="696"/>
      <c r="R8" s="696"/>
      <c r="S8" s="696"/>
      <c r="T8" s="698"/>
      <c r="U8" s="698"/>
      <c r="V8" s="698"/>
      <c r="W8" s="698"/>
      <c r="X8" s="698"/>
      <c r="Y8" s="719"/>
      <c r="Z8" s="696"/>
      <c r="AA8" s="696"/>
      <c r="AB8" s="712"/>
      <c r="AC8" s="719"/>
      <c r="AD8" s="696"/>
      <c r="AE8" s="696"/>
      <c r="AF8" s="712"/>
      <c r="AG8" s="719"/>
      <c r="AH8" s="696"/>
      <c r="AI8" s="696"/>
      <c r="AJ8" s="712"/>
      <c r="AK8" s="696"/>
      <c r="AL8" s="696"/>
      <c r="AM8" s="698"/>
      <c r="AN8" s="698"/>
      <c r="AO8" s="696"/>
      <c r="AP8" s="698"/>
      <c r="AQ8" s="696"/>
      <c r="AR8" s="696"/>
      <c r="AS8" s="698"/>
      <c r="AT8" s="698"/>
      <c r="AU8" s="698"/>
      <c r="AV8" s="698" t="s">
        <v>207</v>
      </c>
      <c r="AW8" s="698" t="s">
        <v>208</v>
      </c>
      <c r="AX8" s="698" t="s">
        <v>356</v>
      </c>
      <c r="AY8" s="698" t="s">
        <v>209</v>
      </c>
      <c r="AZ8" s="698" t="s">
        <v>210</v>
      </c>
      <c r="BA8" s="11"/>
      <c r="BB8" s="11"/>
      <c r="BC8" s="11"/>
      <c r="BD8" s="11"/>
      <c r="BE8" s="11"/>
      <c r="BF8" s="11"/>
      <c r="BG8" s="11"/>
      <c r="BH8" s="11"/>
      <c r="BI8" s="11"/>
      <c r="BJ8" s="11"/>
      <c r="BK8" s="11"/>
      <c r="BL8" s="11"/>
      <c r="BM8" s="11"/>
      <c r="BN8" s="11"/>
      <c r="BO8" s="11"/>
      <c r="BP8" s="11"/>
      <c r="BQ8" s="11"/>
      <c r="BR8" s="11"/>
    </row>
    <row r="9" spans="1:70" ht="17.25" customHeight="1">
      <c r="A9" s="11"/>
      <c r="B9" s="696"/>
      <c r="C9" s="696"/>
      <c r="D9" s="723"/>
      <c r="E9" s="724"/>
      <c r="F9" s="724"/>
      <c r="G9" s="742"/>
      <c r="H9" s="723"/>
      <c r="I9" s="724"/>
      <c r="J9" s="742"/>
      <c r="K9" s="696"/>
      <c r="L9" s="724"/>
      <c r="M9" s="696"/>
      <c r="N9" s="696"/>
      <c r="O9" s="696"/>
      <c r="P9" s="457"/>
      <c r="Q9" s="696"/>
      <c r="R9" s="696"/>
      <c r="S9" s="696"/>
      <c r="T9" s="698"/>
      <c r="U9" s="698"/>
      <c r="V9" s="698"/>
      <c r="W9" s="698"/>
      <c r="X9" s="698"/>
      <c r="Y9" s="774" t="s">
        <v>431</v>
      </c>
      <c r="Z9" s="775"/>
      <c r="AA9" s="461" t="s">
        <v>93</v>
      </c>
      <c r="AB9" s="593" t="s">
        <v>325</v>
      </c>
      <c r="AC9" s="774" t="s">
        <v>431</v>
      </c>
      <c r="AD9" s="775"/>
      <c r="AE9" s="461" t="s">
        <v>93</v>
      </c>
      <c r="AF9" s="593" t="s">
        <v>193</v>
      </c>
      <c r="AG9" s="774" t="s">
        <v>431</v>
      </c>
      <c r="AH9" s="775"/>
      <c r="AI9" s="461" t="s">
        <v>93</v>
      </c>
      <c r="AJ9" s="593" t="s">
        <v>326</v>
      </c>
      <c r="AK9" s="724"/>
      <c r="AL9" s="724"/>
      <c r="AM9" s="760"/>
      <c r="AN9" s="760"/>
      <c r="AO9" s="696"/>
      <c r="AP9" s="760"/>
      <c r="AQ9" s="696"/>
      <c r="AR9" s="696"/>
      <c r="AS9" s="698"/>
      <c r="AT9" s="698"/>
      <c r="AU9" s="698"/>
      <c r="AV9" s="698"/>
      <c r="AW9" s="698"/>
      <c r="AX9" s="698"/>
      <c r="AY9" s="698"/>
      <c r="AZ9" s="698"/>
      <c r="BA9" s="11"/>
      <c r="BB9" s="11"/>
      <c r="BC9" s="11"/>
      <c r="BD9" s="11"/>
      <c r="BE9" s="11"/>
      <c r="BF9" s="11"/>
      <c r="BG9" s="11"/>
      <c r="BH9" s="11"/>
      <c r="BI9" s="11"/>
      <c r="BJ9" s="11"/>
      <c r="BK9" s="11"/>
      <c r="BL9" s="11"/>
      <c r="BM9" s="11"/>
      <c r="BN9" s="11"/>
      <c r="BO9" s="11"/>
      <c r="BP9" s="11"/>
      <c r="BQ9" s="11"/>
      <c r="BR9" s="11"/>
    </row>
    <row r="10" spans="1:70" ht="24" hidden="1" customHeight="1">
      <c r="A10" s="11"/>
      <c r="B10" s="481" t="s">
        <v>211</v>
      </c>
      <c r="C10" s="481"/>
      <c r="D10" s="483" t="s">
        <v>212</v>
      </c>
      <c r="E10" s="483" t="s">
        <v>213</v>
      </c>
      <c r="F10" s="483"/>
      <c r="G10" s="483"/>
      <c r="H10" s="483" t="s">
        <v>214</v>
      </c>
      <c r="I10" s="483" t="s">
        <v>510</v>
      </c>
      <c r="J10" s="483" t="s">
        <v>511</v>
      </c>
      <c r="K10" s="481" t="s">
        <v>42</v>
      </c>
      <c r="L10" s="481" t="s">
        <v>223</v>
      </c>
      <c r="M10" s="481" t="s">
        <v>222</v>
      </c>
      <c r="N10" s="481" t="s">
        <v>137</v>
      </c>
      <c r="O10" s="481" t="s">
        <v>220</v>
      </c>
      <c r="P10" s="481" t="s">
        <v>221</v>
      </c>
      <c r="Q10" s="481" t="s">
        <v>224</v>
      </c>
      <c r="R10" s="481" t="s">
        <v>360</v>
      </c>
      <c r="S10" s="481" t="s">
        <v>512</v>
      </c>
      <c r="T10" s="481"/>
      <c r="U10" s="481"/>
      <c r="V10" s="481"/>
      <c r="W10" s="481"/>
      <c r="X10" s="481"/>
      <c r="Y10" s="492"/>
      <c r="Z10" s="492"/>
      <c r="AA10" s="483" t="s">
        <v>513</v>
      </c>
      <c r="AB10" s="483"/>
      <c r="AC10" s="483"/>
      <c r="AD10" s="483"/>
      <c r="AE10" s="483" t="s">
        <v>205</v>
      </c>
      <c r="AF10" s="483"/>
      <c r="AG10" s="483"/>
      <c r="AH10" s="483"/>
      <c r="AI10" s="483" t="s">
        <v>361</v>
      </c>
      <c r="AJ10" s="483"/>
      <c r="AK10" s="481" t="s">
        <v>226</v>
      </c>
      <c r="AL10" s="483" t="s">
        <v>227</v>
      </c>
      <c r="AM10" s="483"/>
      <c r="AN10" s="483"/>
      <c r="AO10" s="481" t="s">
        <v>228</v>
      </c>
      <c r="AP10" s="481" t="s">
        <v>230</v>
      </c>
      <c r="AQ10" s="481" t="s">
        <v>229</v>
      </c>
      <c r="AR10" s="481" t="s">
        <v>231</v>
      </c>
      <c r="AS10" s="481"/>
      <c r="AT10" s="481"/>
      <c r="AU10" s="481" t="s">
        <v>232</v>
      </c>
      <c r="AV10" s="481" t="s">
        <v>234</v>
      </c>
      <c r="AW10" s="481" t="s">
        <v>235</v>
      </c>
      <c r="AX10" s="481" t="s">
        <v>362</v>
      </c>
      <c r="AY10" s="481" t="s">
        <v>236</v>
      </c>
      <c r="AZ10" s="481" t="s">
        <v>210</v>
      </c>
      <c r="BA10" s="11"/>
      <c r="BB10" s="11"/>
      <c r="BC10" s="11"/>
      <c r="BD10" s="11"/>
      <c r="BE10" s="11"/>
      <c r="BF10" s="11"/>
      <c r="BG10" s="11"/>
      <c r="BH10" s="11"/>
      <c r="BI10" s="11"/>
      <c r="BJ10" s="11"/>
      <c r="BK10" s="11"/>
      <c r="BL10" s="11"/>
      <c r="BM10" s="11"/>
      <c r="BN10" s="11"/>
      <c r="BO10" s="11"/>
      <c r="BP10" s="11"/>
      <c r="BQ10" s="11"/>
      <c r="BR10" s="11"/>
    </row>
    <row r="11" spans="1:70" ht="19.5" customHeight="1">
      <c r="A11" s="11"/>
      <c r="B11" s="18">
        <v>1</v>
      </c>
      <c r="C11" s="19" t="s">
        <v>514</v>
      </c>
      <c r="D11" s="31"/>
      <c r="E11" s="31"/>
      <c r="F11" s="31"/>
      <c r="G11" s="149" t="str">
        <f>IFERROR(VLOOKUP(F11, 'Lookup Tables'!$B$5:$C$2226, 2, FALSE), "")</f>
        <v/>
      </c>
      <c r="H11" s="13"/>
      <c r="I11" s="31"/>
      <c r="J11" s="31"/>
      <c r="K11" s="32"/>
      <c r="L11" s="32"/>
      <c r="M11" s="32"/>
      <c r="N11" s="32"/>
      <c r="O11" s="31"/>
      <c r="P11" s="31"/>
      <c r="Q11" s="110"/>
      <c r="R11" s="31"/>
      <c r="S11" s="31"/>
      <c r="T11" s="231" t="str">
        <f>IFERROR(VLOOKUP(E11, 'Lookup Tables'!$AC$5:$AL$19, MATCH(G11, 'Lookup Tables'!$AD$5:$AL$5,1)+1, FALSE),"")</f>
        <v/>
      </c>
      <c r="U11" s="231" t="str">
        <f>IFERROR(VLOOKUP(E11, 'Lookup Tables'!$G$5:$P$27, MATCH(G11, 'Lookup Tables'!$H$5:$P$5,1)+1, FALSE), "")</f>
        <v/>
      </c>
      <c r="V11" s="231" t="str">
        <f>IFERROR(VLOOKUP(E11, 'Lookup Tables'!$R$5:$AA$27, MATCH(G11, 'Lookup Tables'!$S$5:$AA$5,1)+1, FALSE), "")</f>
        <v/>
      </c>
      <c r="W11" s="158">
        <f t="shared" ref="W11:W18" si="0">IFERROR(IF(D11="Replacement", HLOOKUP(I11, $F$33:$M$41, B11+1, FALSE), 11.3), "")</f>
        <v>11.3</v>
      </c>
      <c r="X11" s="158">
        <f t="shared" ref="X11:X18" si="1">IFERROR(IF(D11="Replacement", HLOOKUP(J11, $N$33:$W$41, B11+1, FALSE), 3.412), "")</f>
        <v>3.4119999999999999</v>
      </c>
      <c r="Y11" s="158" t="str">
        <f>IF(OR(D11="", K11=""), "", $I$25)</f>
        <v/>
      </c>
      <c r="Z11" s="232" t="str">
        <f>IF(D11="", "", "EER2")</f>
        <v/>
      </c>
      <c r="AA11" s="638"/>
      <c r="AB11" s="226" t="str">
        <f>IF(K11&lt;1,"",IF(Q11&lt;65000,1.0578*AA11-0.01769,AA11))</f>
        <v/>
      </c>
      <c r="AC11" s="226" t="str">
        <f t="shared" ref="AC11:AC18" si="2">IF(OR(D11="", K11=""), "", $H$25)</f>
        <v/>
      </c>
      <c r="AD11" s="232" t="str">
        <f>IF(D11="", "", "SEER2")</f>
        <v/>
      </c>
      <c r="AE11" s="638"/>
      <c r="AF11" s="226" t="str">
        <f t="shared" ref="AF11:AF18" si="3">IF(ISBLANK(Q11),"",IF(Q11&lt;65000,(1.2476*AE11)-2.8674,AE11))</f>
        <v/>
      </c>
      <c r="AG11" s="226" t="str">
        <f>IF(OR(D11="", K11=""), "", $J$25)</f>
        <v/>
      </c>
      <c r="AH11" s="232" t="str">
        <f>IF(D11="", "", "HSPF2")</f>
        <v/>
      </c>
      <c r="AI11" s="638"/>
      <c r="AJ11" s="226" t="str">
        <f>IF(K11&gt;=1,IF(R11&lt;65000,(1.1702*AI11)+0.07,AI11),"")</f>
        <v/>
      </c>
      <c r="AK11" s="499" t="str">
        <f t="shared" ref="AK11:AK18" si="4">IFERROR(ROUND(IF(AR11="No", 0, (Q11/1000)*((1/(W11*11.3/13))-(1/AB11))*K11),6), "")</f>
        <v/>
      </c>
      <c r="AL11" s="499" t="str">
        <f t="shared" ref="AL11:AL18" si="5">IFERROR(ROUND(IF(AR11="No", 0, (Q11/1000)*((1/(W11*11.3/13))-(1/AB11))*T11*K11),6), "")</f>
        <v/>
      </c>
      <c r="AM11" s="157" t="str">
        <f t="shared" ref="AM11:AM18" si="6">IFERROR((Q11/1000)*((1/W11)-(1/AF11))*U11, "")</f>
        <v/>
      </c>
      <c r="AN11" s="157" t="str">
        <f t="shared" ref="AN11:AN18" si="7">IFERROR((R11/1000)*((1/X11)-(1/AJ11))*V11, "")</f>
        <v/>
      </c>
      <c r="AO11" s="518" t="str">
        <f t="shared" ref="AO11:AO18" si="8">IFERROR(ROUND((AM11+AN11)*K11,4), "")</f>
        <v/>
      </c>
      <c r="AP11" s="642" t="str">
        <f>IF(L11="","",(Q11/12000)*$L$25*K11)</f>
        <v/>
      </c>
      <c r="AQ11" s="160" t="str">
        <f>IFERROR(ROUND(IF(OR(AR11="No",AO11&lt;=0, AO11=""),"",MIN(AP11,L11,(Q11/12000)*$L$25*K11)),2),"")</f>
        <v/>
      </c>
      <c r="AR11" s="21" t="str">
        <f>IF(OR(D11="", K11="", AE11=""), "", IF(OR(AA11&lt;$I$25, AE11&lt;$H$25, AI11&lt;$J$25), "No", "Yes"))</f>
        <v/>
      </c>
      <c r="AS11" s="133" t="str">
        <f t="shared" ref="AS11:AS18" si="9">IFERROR(VLOOKUP(S11, $G$25:$P$26, 9, FALSE), "")</f>
        <v/>
      </c>
      <c r="AT11" s="133" t="str">
        <f t="shared" ref="AT11:AT18" si="10">IFERROR(VLOOKUP(S11, $G$25:$P$26, 10, FALSE), "")</f>
        <v/>
      </c>
      <c r="AU11" s="21" t="str">
        <f t="shared" ref="AU11:AU18" si="11">IFERROR(VLOOKUP(S11, $G$25:$P$26, 8, FALSE), "")</f>
        <v/>
      </c>
      <c r="AV11" s="576" t="str">
        <f t="shared" ref="AV11:AV18" si="12">IF(ISBLANK(K11),"",IF(Q11&lt;65000,(AC11+2.874)/1.2467,""))</f>
        <v/>
      </c>
      <c r="AW11" s="576" t="str">
        <f t="shared" ref="AW11:AW18" si="13">IF(ISBLANK(K11),"",IF(Q11&lt;65000,(Y11+0.1769)/1.0578,""))</f>
        <v/>
      </c>
      <c r="AX11" s="576" t="str">
        <f t="shared" ref="AX11:AX18" si="14">IF(ISBLANK(K11),"",IF(Q11&lt;65000,(AG11-0.07)/1.1702,""))</f>
        <v/>
      </c>
      <c r="AY11" s="23" t="str">
        <f t="shared" ref="AY11:AY18" si="15">IF(ISBLANK(K11),"","Split")</f>
        <v/>
      </c>
      <c r="AZ11" s="23" t="str">
        <f t="shared" ref="AZ11:AZ18" si="16">IF(ISBLANK(K11),"",IF(Q11&lt;65000,"Consumer","Commercial"))</f>
        <v/>
      </c>
      <c r="BA11" s="11"/>
      <c r="BB11" s="11"/>
      <c r="BC11" s="11"/>
      <c r="BD11" s="11"/>
      <c r="BE11" s="11"/>
      <c r="BF11" s="11"/>
      <c r="BG11" s="11"/>
      <c r="BH11" s="11"/>
      <c r="BI11" s="11"/>
      <c r="BJ11" s="11"/>
      <c r="BK11" s="11"/>
      <c r="BL11" s="11"/>
      <c r="BM11" s="11"/>
      <c r="BN11" s="11"/>
      <c r="BO11" s="11"/>
      <c r="BP11" s="11"/>
      <c r="BQ11" s="11"/>
      <c r="BR11" s="11"/>
    </row>
    <row r="12" spans="1:70" ht="19.5" customHeight="1">
      <c r="A12" s="11"/>
      <c r="B12" s="18">
        <v>2</v>
      </c>
      <c r="C12" s="19" t="s">
        <v>514</v>
      </c>
      <c r="D12" s="31"/>
      <c r="E12" s="31"/>
      <c r="F12" s="31"/>
      <c r="G12" s="149" t="str">
        <f>IFERROR(VLOOKUP(F12, 'Lookup Tables'!$B$5:$C$2226, 2, FALSE), "")</f>
        <v/>
      </c>
      <c r="H12" s="13"/>
      <c r="I12" s="31"/>
      <c r="J12" s="31"/>
      <c r="K12" s="32"/>
      <c r="L12" s="32"/>
      <c r="M12" s="32"/>
      <c r="N12" s="32"/>
      <c r="O12" s="31"/>
      <c r="P12" s="31"/>
      <c r="Q12" s="110"/>
      <c r="R12" s="31"/>
      <c r="S12" s="31"/>
      <c r="T12" s="231" t="str">
        <f>IFERROR(VLOOKUP(E12, 'Lookup Tables'!$AC$5:$AL$19, MATCH(G12, 'Lookup Tables'!$AD$5:$AL$5,1)+1, FALSE),"")</f>
        <v/>
      </c>
      <c r="U12" s="231" t="str">
        <f>IFERROR(VLOOKUP(E12, 'Lookup Tables'!$G$5:$P$27, MATCH(G12, 'Lookup Tables'!$H$5:$P$5,1)+1, FALSE), "")</f>
        <v/>
      </c>
      <c r="V12" s="231" t="str">
        <f>IFERROR(VLOOKUP(E12, 'Lookup Tables'!$R$5:$AA$27, MATCH(G12, 'Lookup Tables'!$S$5:$AA$5,1)+1, FALSE), "")</f>
        <v/>
      </c>
      <c r="W12" s="158">
        <f t="shared" si="0"/>
        <v>11.3</v>
      </c>
      <c r="X12" s="158">
        <f t="shared" si="1"/>
        <v>3.4119999999999999</v>
      </c>
      <c r="Y12" s="158" t="str">
        <f>IF(OR(D12="", K12=""), "", $I$25)</f>
        <v/>
      </c>
      <c r="Z12" s="232" t="str">
        <f t="shared" ref="Z12:Z18" si="17">IF(D12="", "", "EER2")</f>
        <v/>
      </c>
      <c r="AA12" s="638"/>
      <c r="AB12" s="226" t="str">
        <f t="shared" ref="AB12:AB17" si="18">IF(K12&lt;1,"",IF(Q12&lt;65000,1.0578*AA12-0.01769,AA12))</f>
        <v/>
      </c>
      <c r="AC12" s="226" t="str">
        <f t="shared" si="2"/>
        <v/>
      </c>
      <c r="AD12" s="232" t="str">
        <f t="shared" ref="AD12:AD18" si="19">IF(D12="", "", "SEER2")</f>
        <v/>
      </c>
      <c r="AE12" s="638"/>
      <c r="AF12" s="226" t="str">
        <f t="shared" si="3"/>
        <v/>
      </c>
      <c r="AG12" s="226" t="str">
        <f t="shared" ref="AG12:AG18" si="20">IF(OR(D12="", K12=""), "", $J$25)</f>
        <v/>
      </c>
      <c r="AH12" s="232" t="str">
        <f t="shared" ref="AH12:AH18" si="21">IF(D12="", "", "HSPF2")</f>
        <v/>
      </c>
      <c r="AI12" s="638"/>
      <c r="AJ12" s="226" t="str">
        <f t="shared" ref="AJ12:AJ18" si="22">IF(K12&gt;=1,IF(R12&lt;65000,(1.1702*AI12)+0.07,AI12),"")</f>
        <v/>
      </c>
      <c r="AK12" s="498" t="str">
        <f t="shared" si="4"/>
        <v/>
      </c>
      <c r="AL12" s="498" t="str">
        <f t="shared" si="5"/>
        <v/>
      </c>
      <c r="AM12" s="157" t="str">
        <f t="shared" si="6"/>
        <v/>
      </c>
      <c r="AN12" s="157" t="str">
        <f t="shared" si="7"/>
        <v/>
      </c>
      <c r="AO12" s="518" t="str">
        <f t="shared" si="8"/>
        <v/>
      </c>
      <c r="AP12" s="642" t="str">
        <f t="shared" ref="AP12:AP18" si="23">IF(L12="","",(Q12/12000)*$L$25*K12)</f>
        <v/>
      </c>
      <c r="AQ12" s="160" t="str">
        <f t="shared" ref="AQ12:AQ18" si="24">IFERROR(ROUND(IF(OR(AR12="No",AO12&lt;=0, AO12=""),"",MIN(AP12,L12,(Q12/12000)*$L$25*K12)),2),"")</f>
        <v/>
      </c>
      <c r="AR12" s="21" t="str">
        <f t="shared" ref="AR12:AR18" si="25">IF(OR(D12="", K12="", AF12=""), "", IF(OR(AB12&lt;$I$25, AF12&lt;$H$25, AJ12&lt;$J$25), "No", "Yes"))</f>
        <v/>
      </c>
      <c r="AS12" s="133" t="str">
        <f t="shared" si="9"/>
        <v/>
      </c>
      <c r="AT12" s="133" t="str">
        <f t="shared" si="10"/>
        <v/>
      </c>
      <c r="AU12" s="21" t="str">
        <f t="shared" si="11"/>
        <v/>
      </c>
      <c r="AV12" s="576" t="str">
        <f t="shared" si="12"/>
        <v/>
      </c>
      <c r="AW12" s="576" t="str">
        <f t="shared" si="13"/>
        <v/>
      </c>
      <c r="AX12" s="576" t="str">
        <f t="shared" si="14"/>
        <v/>
      </c>
      <c r="AY12" s="23" t="str">
        <f t="shared" si="15"/>
        <v/>
      </c>
      <c r="AZ12" s="23" t="str">
        <f t="shared" si="16"/>
        <v/>
      </c>
      <c r="BA12" s="11"/>
      <c r="BB12" s="11"/>
      <c r="BC12" s="11"/>
      <c r="BD12" s="11"/>
      <c r="BE12" s="11"/>
      <c r="BF12" s="11"/>
      <c r="BG12" s="11"/>
      <c r="BH12" s="11"/>
      <c r="BI12" s="11"/>
      <c r="BJ12" s="11"/>
      <c r="BK12" s="11"/>
      <c r="BL12" s="11"/>
      <c r="BM12" s="11"/>
      <c r="BN12" s="11"/>
      <c r="BO12" s="11"/>
      <c r="BP12" s="11"/>
      <c r="BQ12" s="11"/>
      <c r="BR12" s="11"/>
    </row>
    <row r="13" spans="1:70" ht="19.5" customHeight="1">
      <c r="A13" s="11"/>
      <c r="B13" s="18">
        <v>3</v>
      </c>
      <c r="C13" s="19" t="s">
        <v>514</v>
      </c>
      <c r="D13" s="31"/>
      <c r="E13" s="31"/>
      <c r="F13" s="31"/>
      <c r="G13" s="149" t="str">
        <f>IFERROR(VLOOKUP(F13, 'Lookup Tables'!$B$5:$C$2226, 2, FALSE), "")</f>
        <v/>
      </c>
      <c r="H13" s="13"/>
      <c r="I13" s="31"/>
      <c r="J13" s="31"/>
      <c r="K13" s="32"/>
      <c r="L13" s="32"/>
      <c r="M13" s="32"/>
      <c r="N13" s="32"/>
      <c r="O13" s="31"/>
      <c r="P13" s="31"/>
      <c r="Q13" s="110"/>
      <c r="R13" s="31"/>
      <c r="S13" s="31"/>
      <c r="T13" s="231" t="str">
        <f>IFERROR(VLOOKUP(E13, 'Lookup Tables'!$AC$5:$AL$19, MATCH(G13, 'Lookup Tables'!$AD$5:$AL$5,1)+1, FALSE),"")</f>
        <v/>
      </c>
      <c r="U13" s="231" t="str">
        <f>IFERROR(VLOOKUP(E13, 'Lookup Tables'!$G$5:$P$27, MATCH(G13, 'Lookup Tables'!$H$5:$P$5,1)+1, FALSE), "")</f>
        <v/>
      </c>
      <c r="V13" s="231" t="str">
        <f>IFERROR(VLOOKUP(E13, 'Lookup Tables'!$R$5:$AA$27, MATCH(G13, 'Lookup Tables'!$S$5:$AA$5,1)+1, FALSE), "")</f>
        <v/>
      </c>
      <c r="W13" s="158">
        <f t="shared" si="0"/>
        <v>11.3</v>
      </c>
      <c r="X13" s="158">
        <f t="shared" si="1"/>
        <v>3.4119999999999999</v>
      </c>
      <c r="Y13" s="158" t="str">
        <f t="shared" ref="Y13:Y18" si="26">IF(OR(D13="", K13=""), "", $I$25)</f>
        <v/>
      </c>
      <c r="Z13" s="232" t="str">
        <f t="shared" si="17"/>
        <v/>
      </c>
      <c r="AA13" s="638"/>
      <c r="AB13" s="226" t="str">
        <f t="shared" si="18"/>
        <v/>
      </c>
      <c r="AC13" s="226" t="str">
        <f t="shared" si="2"/>
        <v/>
      </c>
      <c r="AD13" s="232" t="str">
        <f t="shared" si="19"/>
        <v/>
      </c>
      <c r="AE13" s="638"/>
      <c r="AF13" s="226" t="str">
        <f t="shared" si="3"/>
        <v/>
      </c>
      <c r="AG13" s="226" t="str">
        <f t="shared" si="20"/>
        <v/>
      </c>
      <c r="AH13" s="232" t="str">
        <f t="shared" si="21"/>
        <v/>
      </c>
      <c r="AI13" s="638"/>
      <c r="AJ13" s="226" t="str">
        <f t="shared" si="22"/>
        <v/>
      </c>
      <c r="AK13" s="498" t="str">
        <f t="shared" si="4"/>
        <v/>
      </c>
      <c r="AL13" s="498" t="str">
        <f t="shared" si="5"/>
        <v/>
      </c>
      <c r="AM13" s="157" t="str">
        <f t="shared" si="6"/>
        <v/>
      </c>
      <c r="AN13" s="157" t="str">
        <f t="shared" si="7"/>
        <v/>
      </c>
      <c r="AO13" s="518" t="str">
        <f t="shared" si="8"/>
        <v/>
      </c>
      <c r="AP13" s="642" t="str">
        <f t="shared" si="23"/>
        <v/>
      </c>
      <c r="AQ13" s="160" t="str">
        <f t="shared" si="24"/>
        <v/>
      </c>
      <c r="AR13" s="21" t="str">
        <f t="shared" si="25"/>
        <v/>
      </c>
      <c r="AS13" s="133" t="str">
        <f t="shared" si="9"/>
        <v/>
      </c>
      <c r="AT13" s="133" t="str">
        <f t="shared" si="10"/>
        <v/>
      </c>
      <c r="AU13" s="21" t="str">
        <f t="shared" si="11"/>
        <v/>
      </c>
      <c r="AV13" s="576" t="str">
        <f t="shared" si="12"/>
        <v/>
      </c>
      <c r="AW13" s="576" t="str">
        <f t="shared" si="13"/>
        <v/>
      </c>
      <c r="AX13" s="576" t="str">
        <f t="shared" si="14"/>
        <v/>
      </c>
      <c r="AY13" s="23" t="str">
        <f t="shared" si="15"/>
        <v/>
      </c>
      <c r="AZ13" s="23" t="str">
        <f t="shared" si="16"/>
        <v/>
      </c>
      <c r="BA13" s="11"/>
      <c r="BB13" s="11"/>
      <c r="BC13" s="11"/>
      <c r="BD13" s="11"/>
      <c r="BE13" s="11"/>
      <c r="BF13" s="11"/>
      <c r="BG13" s="11"/>
      <c r="BH13" s="11"/>
      <c r="BI13" s="11"/>
      <c r="BJ13" s="11"/>
      <c r="BK13" s="11"/>
      <c r="BL13" s="11"/>
      <c r="BM13" s="11"/>
      <c r="BN13" s="11"/>
      <c r="BO13" s="11"/>
      <c r="BP13" s="11"/>
      <c r="BQ13" s="11"/>
      <c r="BR13" s="11"/>
    </row>
    <row r="14" spans="1:70" ht="19.5" customHeight="1">
      <c r="A14" s="11"/>
      <c r="B14" s="18">
        <v>4</v>
      </c>
      <c r="C14" s="19" t="s">
        <v>514</v>
      </c>
      <c r="D14" s="31"/>
      <c r="E14" s="31"/>
      <c r="F14" s="31"/>
      <c r="G14" s="149" t="str">
        <f>IFERROR(VLOOKUP(F14, 'Lookup Tables'!$B$5:$C$2226, 2, FALSE), "")</f>
        <v/>
      </c>
      <c r="H14" s="13"/>
      <c r="I14" s="31"/>
      <c r="J14" s="31"/>
      <c r="K14" s="32"/>
      <c r="L14" s="32"/>
      <c r="M14" s="32"/>
      <c r="N14" s="32"/>
      <c r="O14" s="31"/>
      <c r="P14" s="31"/>
      <c r="Q14" s="110"/>
      <c r="R14" s="31"/>
      <c r="S14" s="31"/>
      <c r="T14" s="231" t="str">
        <f>IFERROR(VLOOKUP(E14, 'Lookup Tables'!$AC$5:$AL$19, MATCH(G14, 'Lookup Tables'!$AD$5:$AL$5,1)+1, FALSE),"")</f>
        <v/>
      </c>
      <c r="U14" s="231" t="str">
        <f>IFERROR(VLOOKUP(E14, 'Lookup Tables'!$G$5:$P$27, MATCH(G14, 'Lookup Tables'!$H$5:$P$5,1)+1, FALSE), "")</f>
        <v/>
      </c>
      <c r="V14" s="231" t="str">
        <f>IFERROR(VLOOKUP(E14, 'Lookup Tables'!$R$5:$AA$27, MATCH(G14, 'Lookup Tables'!$S$5:$AA$5,1)+1, FALSE), "")</f>
        <v/>
      </c>
      <c r="W14" s="158">
        <f t="shared" si="0"/>
        <v>11.3</v>
      </c>
      <c r="X14" s="158">
        <f t="shared" si="1"/>
        <v>3.4119999999999999</v>
      </c>
      <c r="Y14" s="158" t="str">
        <f t="shared" si="26"/>
        <v/>
      </c>
      <c r="Z14" s="232" t="str">
        <f t="shared" si="17"/>
        <v/>
      </c>
      <c r="AA14" s="638"/>
      <c r="AB14" s="226" t="str">
        <f t="shared" si="18"/>
        <v/>
      </c>
      <c r="AC14" s="226" t="str">
        <f t="shared" si="2"/>
        <v/>
      </c>
      <c r="AD14" s="232" t="str">
        <f t="shared" si="19"/>
        <v/>
      </c>
      <c r="AE14" s="638"/>
      <c r="AF14" s="226" t="str">
        <f t="shared" si="3"/>
        <v/>
      </c>
      <c r="AG14" s="226" t="str">
        <f t="shared" si="20"/>
        <v/>
      </c>
      <c r="AH14" s="232" t="str">
        <f t="shared" si="21"/>
        <v/>
      </c>
      <c r="AI14" s="638"/>
      <c r="AJ14" s="226" t="str">
        <f t="shared" si="22"/>
        <v/>
      </c>
      <c r="AK14" s="498" t="str">
        <f t="shared" si="4"/>
        <v/>
      </c>
      <c r="AL14" s="498" t="str">
        <f t="shared" si="5"/>
        <v/>
      </c>
      <c r="AM14" s="157" t="str">
        <f t="shared" si="6"/>
        <v/>
      </c>
      <c r="AN14" s="157" t="str">
        <f t="shared" si="7"/>
        <v/>
      </c>
      <c r="AO14" s="518" t="str">
        <f t="shared" si="8"/>
        <v/>
      </c>
      <c r="AP14" s="642" t="str">
        <f t="shared" si="23"/>
        <v/>
      </c>
      <c r="AQ14" s="160" t="str">
        <f t="shared" si="24"/>
        <v/>
      </c>
      <c r="AR14" s="21" t="str">
        <f t="shared" si="25"/>
        <v/>
      </c>
      <c r="AS14" s="133" t="str">
        <f t="shared" si="9"/>
        <v/>
      </c>
      <c r="AT14" s="133" t="str">
        <f t="shared" si="10"/>
        <v/>
      </c>
      <c r="AU14" s="21" t="str">
        <f t="shared" si="11"/>
        <v/>
      </c>
      <c r="AV14" s="576" t="str">
        <f t="shared" si="12"/>
        <v/>
      </c>
      <c r="AW14" s="576" t="str">
        <f t="shared" si="13"/>
        <v/>
      </c>
      <c r="AX14" s="576" t="str">
        <f t="shared" si="14"/>
        <v/>
      </c>
      <c r="AY14" s="23" t="str">
        <f t="shared" si="15"/>
        <v/>
      </c>
      <c r="AZ14" s="23" t="str">
        <f t="shared" si="16"/>
        <v/>
      </c>
      <c r="BA14" s="11"/>
      <c r="BB14" s="11"/>
      <c r="BC14" s="11"/>
      <c r="BD14" s="11"/>
      <c r="BE14" s="11"/>
      <c r="BF14" s="11"/>
      <c r="BG14" s="11"/>
      <c r="BH14" s="11"/>
      <c r="BI14" s="11"/>
      <c r="BJ14" s="11"/>
      <c r="BK14" s="11"/>
      <c r="BL14" s="11"/>
      <c r="BM14" s="11"/>
      <c r="BN14" s="11"/>
      <c r="BO14" s="11"/>
      <c r="BP14" s="11"/>
      <c r="BQ14" s="11"/>
      <c r="BR14" s="11"/>
    </row>
    <row r="15" spans="1:70" ht="19.5" customHeight="1">
      <c r="A15" s="11"/>
      <c r="B15" s="18">
        <v>5</v>
      </c>
      <c r="C15" s="19" t="s">
        <v>514</v>
      </c>
      <c r="D15" s="31"/>
      <c r="E15" s="31"/>
      <c r="F15" s="31"/>
      <c r="G15" s="149" t="str">
        <f>IFERROR(VLOOKUP(F15, 'Lookup Tables'!$B$5:$C$2226, 2, FALSE), "")</f>
        <v/>
      </c>
      <c r="H15" s="13"/>
      <c r="I15" s="31"/>
      <c r="J15" s="31"/>
      <c r="K15" s="32"/>
      <c r="L15" s="32"/>
      <c r="M15" s="32"/>
      <c r="N15" s="32"/>
      <c r="O15" s="31"/>
      <c r="P15" s="31"/>
      <c r="Q15" s="110"/>
      <c r="R15" s="31"/>
      <c r="S15" s="31"/>
      <c r="T15" s="231" t="str">
        <f>IFERROR(VLOOKUP(E15, 'Lookup Tables'!$AC$5:$AL$19, MATCH(G15, 'Lookup Tables'!$AD$5:$AL$5,1)+1, FALSE),"")</f>
        <v/>
      </c>
      <c r="U15" s="231" t="str">
        <f>IFERROR(VLOOKUP(E15, 'Lookup Tables'!$G$5:$P$27, MATCH(G15, 'Lookup Tables'!$H$5:$P$5,1)+1, FALSE), "")</f>
        <v/>
      </c>
      <c r="V15" s="231" t="str">
        <f>IFERROR(VLOOKUP(E15, 'Lookup Tables'!$R$5:$AA$27, MATCH(G15, 'Lookup Tables'!$S$5:$AA$5,1)+1, FALSE), "")</f>
        <v/>
      </c>
      <c r="W15" s="158">
        <f t="shared" si="0"/>
        <v>11.3</v>
      </c>
      <c r="X15" s="158">
        <f t="shared" si="1"/>
        <v>3.4119999999999999</v>
      </c>
      <c r="Y15" s="158" t="str">
        <f t="shared" si="26"/>
        <v/>
      </c>
      <c r="Z15" s="232" t="str">
        <f t="shared" si="17"/>
        <v/>
      </c>
      <c r="AA15" s="638"/>
      <c r="AB15" s="226" t="str">
        <f t="shared" si="18"/>
        <v/>
      </c>
      <c r="AC15" s="226" t="str">
        <f t="shared" si="2"/>
        <v/>
      </c>
      <c r="AD15" s="232" t="str">
        <f t="shared" si="19"/>
        <v/>
      </c>
      <c r="AE15" s="638"/>
      <c r="AF15" s="226" t="str">
        <f t="shared" si="3"/>
        <v/>
      </c>
      <c r="AG15" s="226" t="str">
        <f t="shared" si="20"/>
        <v/>
      </c>
      <c r="AH15" s="232" t="str">
        <f t="shared" si="21"/>
        <v/>
      </c>
      <c r="AI15" s="638"/>
      <c r="AJ15" s="226" t="str">
        <f t="shared" si="22"/>
        <v/>
      </c>
      <c r="AK15" s="498" t="str">
        <f t="shared" si="4"/>
        <v/>
      </c>
      <c r="AL15" s="498" t="str">
        <f t="shared" si="5"/>
        <v/>
      </c>
      <c r="AM15" s="157" t="str">
        <f t="shared" si="6"/>
        <v/>
      </c>
      <c r="AN15" s="157" t="str">
        <f t="shared" si="7"/>
        <v/>
      </c>
      <c r="AO15" s="518" t="str">
        <f t="shared" si="8"/>
        <v/>
      </c>
      <c r="AP15" s="642" t="str">
        <f t="shared" si="23"/>
        <v/>
      </c>
      <c r="AQ15" s="160" t="str">
        <f t="shared" si="24"/>
        <v/>
      </c>
      <c r="AR15" s="21" t="str">
        <f t="shared" si="25"/>
        <v/>
      </c>
      <c r="AS15" s="133" t="str">
        <f t="shared" si="9"/>
        <v/>
      </c>
      <c r="AT15" s="133" t="str">
        <f t="shared" si="10"/>
        <v/>
      </c>
      <c r="AU15" s="21" t="str">
        <f t="shared" si="11"/>
        <v/>
      </c>
      <c r="AV15" s="576" t="str">
        <f t="shared" si="12"/>
        <v/>
      </c>
      <c r="AW15" s="576" t="str">
        <f t="shared" si="13"/>
        <v/>
      </c>
      <c r="AX15" s="576" t="str">
        <f t="shared" si="14"/>
        <v/>
      </c>
      <c r="AY15" s="23" t="str">
        <f t="shared" si="15"/>
        <v/>
      </c>
      <c r="AZ15" s="23" t="str">
        <f t="shared" si="16"/>
        <v/>
      </c>
      <c r="BA15" s="11"/>
      <c r="BB15" s="11"/>
      <c r="BC15" s="11"/>
      <c r="BD15" s="11"/>
      <c r="BE15" s="11"/>
      <c r="BF15" s="11"/>
      <c r="BG15" s="11"/>
      <c r="BH15" s="11"/>
      <c r="BI15" s="11"/>
      <c r="BJ15" s="11"/>
      <c r="BK15" s="11"/>
      <c r="BL15" s="11"/>
      <c r="BM15" s="11"/>
      <c r="BN15" s="11"/>
      <c r="BO15" s="11"/>
      <c r="BP15" s="11"/>
      <c r="BQ15" s="11"/>
      <c r="BR15" s="11"/>
    </row>
    <row r="16" spans="1:70" ht="19.5" customHeight="1">
      <c r="A16" s="11"/>
      <c r="B16" s="18">
        <v>6</v>
      </c>
      <c r="C16" s="19" t="s">
        <v>514</v>
      </c>
      <c r="D16" s="31"/>
      <c r="E16" s="31"/>
      <c r="F16" s="31"/>
      <c r="G16" s="149" t="str">
        <f>IFERROR(VLOOKUP(F16, 'Lookup Tables'!$B$5:$C$2226, 2, FALSE), "")</f>
        <v/>
      </c>
      <c r="H16" s="13"/>
      <c r="I16" s="31"/>
      <c r="J16" s="31"/>
      <c r="K16" s="32"/>
      <c r="L16" s="32"/>
      <c r="M16" s="32"/>
      <c r="N16" s="32"/>
      <c r="O16" s="31"/>
      <c r="P16" s="31"/>
      <c r="Q16" s="110"/>
      <c r="R16" s="31"/>
      <c r="S16" s="31"/>
      <c r="T16" s="231" t="str">
        <f>IFERROR(VLOOKUP(E16, 'Lookup Tables'!$AC$5:$AL$19, MATCH(G16, 'Lookup Tables'!$AD$5:$AL$5,1)+1, FALSE),"")</f>
        <v/>
      </c>
      <c r="U16" s="231" t="str">
        <f>IFERROR(VLOOKUP(E16, 'Lookup Tables'!$G$5:$P$27, MATCH(G16, 'Lookup Tables'!$H$5:$P$5,1)+1, FALSE), "")</f>
        <v/>
      </c>
      <c r="V16" s="231" t="str">
        <f>IFERROR(VLOOKUP(E16, 'Lookup Tables'!$R$5:$AA$27, MATCH(G16, 'Lookup Tables'!$S$5:$AA$5,1)+1, FALSE), "")</f>
        <v/>
      </c>
      <c r="W16" s="158">
        <f t="shared" si="0"/>
        <v>11.3</v>
      </c>
      <c r="X16" s="158">
        <f t="shared" si="1"/>
        <v>3.4119999999999999</v>
      </c>
      <c r="Y16" s="158" t="str">
        <f t="shared" si="26"/>
        <v/>
      </c>
      <c r="Z16" s="232" t="str">
        <f t="shared" si="17"/>
        <v/>
      </c>
      <c r="AA16" s="638"/>
      <c r="AB16" s="226" t="str">
        <f t="shared" si="18"/>
        <v/>
      </c>
      <c r="AC16" s="226" t="str">
        <f t="shared" si="2"/>
        <v/>
      </c>
      <c r="AD16" s="232" t="str">
        <f t="shared" si="19"/>
        <v/>
      </c>
      <c r="AE16" s="638"/>
      <c r="AF16" s="226" t="str">
        <f t="shared" si="3"/>
        <v/>
      </c>
      <c r="AG16" s="226" t="str">
        <f t="shared" si="20"/>
        <v/>
      </c>
      <c r="AH16" s="232" t="str">
        <f t="shared" si="21"/>
        <v/>
      </c>
      <c r="AI16" s="638"/>
      <c r="AJ16" s="226" t="str">
        <f t="shared" si="22"/>
        <v/>
      </c>
      <c r="AK16" s="498" t="str">
        <f t="shared" si="4"/>
        <v/>
      </c>
      <c r="AL16" s="498" t="str">
        <f t="shared" si="5"/>
        <v/>
      </c>
      <c r="AM16" s="157" t="str">
        <f t="shared" si="6"/>
        <v/>
      </c>
      <c r="AN16" s="157" t="str">
        <f t="shared" si="7"/>
        <v/>
      </c>
      <c r="AO16" s="518" t="str">
        <f t="shared" si="8"/>
        <v/>
      </c>
      <c r="AP16" s="642" t="str">
        <f t="shared" si="23"/>
        <v/>
      </c>
      <c r="AQ16" s="160" t="str">
        <f t="shared" si="24"/>
        <v/>
      </c>
      <c r="AR16" s="21" t="str">
        <f t="shared" si="25"/>
        <v/>
      </c>
      <c r="AS16" s="133" t="str">
        <f t="shared" si="9"/>
        <v/>
      </c>
      <c r="AT16" s="133" t="str">
        <f t="shared" si="10"/>
        <v/>
      </c>
      <c r="AU16" s="21" t="str">
        <f t="shared" si="11"/>
        <v/>
      </c>
      <c r="AV16" s="576" t="str">
        <f t="shared" si="12"/>
        <v/>
      </c>
      <c r="AW16" s="576" t="str">
        <f t="shared" si="13"/>
        <v/>
      </c>
      <c r="AX16" s="576" t="str">
        <f t="shared" si="14"/>
        <v/>
      </c>
      <c r="AY16" s="23" t="str">
        <f t="shared" si="15"/>
        <v/>
      </c>
      <c r="AZ16" s="23" t="str">
        <f t="shared" si="16"/>
        <v/>
      </c>
      <c r="BA16" s="11"/>
      <c r="BB16" s="11"/>
      <c r="BC16" s="11"/>
      <c r="BD16" s="11"/>
      <c r="BE16" s="11"/>
      <c r="BF16" s="11"/>
      <c r="BG16" s="11"/>
      <c r="BH16" s="11"/>
      <c r="BI16" s="11"/>
      <c r="BJ16" s="11"/>
      <c r="BK16" s="11"/>
      <c r="BL16" s="11"/>
      <c r="BM16" s="11"/>
      <c r="BN16" s="11"/>
      <c r="BO16" s="11"/>
      <c r="BP16" s="11"/>
      <c r="BQ16" s="11"/>
      <c r="BR16" s="11"/>
    </row>
    <row r="17" spans="1:70" ht="19.5" customHeight="1">
      <c r="A17" s="11"/>
      <c r="B17" s="18">
        <v>7</v>
      </c>
      <c r="C17" s="19" t="s">
        <v>514</v>
      </c>
      <c r="D17" s="31"/>
      <c r="E17" s="31"/>
      <c r="F17" s="31"/>
      <c r="G17" s="149" t="str">
        <f>IFERROR(VLOOKUP(F17, 'Lookup Tables'!$B$5:$C$2226, 2, FALSE), "")</f>
        <v/>
      </c>
      <c r="H17" s="13"/>
      <c r="I17" s="31"/>
      <c r="J17" s="31"/>
      <c r="K17" s="32"/>
      <c r="L17" s="32"/>
      <c r="M17" s="32"/>
      <c r="N17" s="32"/>
      <c r="O17" s="31"/>
      <c r="P17" s="31"/>
      <c r="Q17" s="110"/>
      <c r="R17" s="31"/>
      <c r="S17" s="31"/>
      <c r="T17" s="231" t="str">
        <f>IFERROR(VLOOKUP(E17, 'Lookup Tables'!$AC$5:$AL$19, MATCH(G17, 'Lookup Tables'!$AD$5:$AL$5,1)+1, FALSE),"")</f>
        <v/>
      </c>
      <c r="U17" s="231" t="str">
        <f>IFERROR(VLOOKUP(E17, 'Lookup Tables'!$G$5:$P$27, MATCH(G17, 'Lookup Tables'!$H$5:$P$5,1)+1, FALSE), "")</f>
        <v/>
      </c>
      <c r="V17" s="231" t="str">
        <f>IFERROR(VLOOKUP(E17, 'Lookup Tables'!$R$5:$AA$27, MATCH(G17, 'Lookup Tables'!$S$5:$AA$5,1)+1, FALSE), "")</f>
        <v/>
      </c>
      <c r="W17" s="158">
        <f t="shared" si="0"/>
        <v>11.3</v>
      </c>
      <c r="X17" s="158">
        <f t="shared" si="1"/>
        <v>3.4119999999999999</v>
      </c>
      <c r="Y17" s="158" t="str">
        <f t="shared" si="26"/>
        <v/>
      </c>
      <c r="Z17" s="232" t="str">
        <f t="shared" si="17"/>
        <v/>
      </c>
      <c r="AA17" s="638"/>
      <c r="AB17" s="226" t="str">
        <f t="shared" si="18"/>
        <v/>
      </c>
      <c r="AC17" s="226" t="str">
        <f t="shared" si="2"/>
        <v/>
      </c>
      <c r="AD17" s="232" t="str">
        <f t="shared" si="19"/>
        <v/>
      </c>
      <c r="AE17" s="638"/>
      <c r="AF17" s="226" t="str">
        <f t="shared" si="3"/>
        <v/>
      </c>
      <c r="AG17" s="226" t="str">
        <f t="shared" si="20"/>
        <v/>
      </c>
      <c r="AH17" s="232" t="str">
        <f t="shared" si="21"/>
        <v/>
      </c>
      <c r="AI17" s="638"/>
      <c r="AJ17" s="226" t="str">
        <f t="shared" si="22"/>
        <v/>
      </c>
      <c r="AK17" s="498" t="str">
        <f t="shared" si="4"/>
        <v/>
      </c>
      <c r="AL17" s="498" t="str">
        <f t="shared" si="5"/>
        <v/>
      </c>
      <c r="AM17" s="157" t="str">
        <f t="shared" si="6"/>
        <v/>
      </c>
      <c r="AN17" s="157" t="str">
        <f t="shared" si="7"/>
        <v/>
      </c>
      <c r="AO17" s="518" t="str">
        <f t="shared" si="8"/>
        <v/>
      </c>
      <c r="AP17" s="642" t="str">
        <f t="shared" si="23"/>
        <v/>
      </c>
      <c r="AQ17" s="160" t="str">
        <f t="shared" si="24"/>
        <v/>
      </c>
      <c r="AR17" s="21" t="str">
        <f t="shared" si="25"/>
        <v/>
      </c>
      <c r="AS17" s="133" t="str">
        <f t="shared" si="9"/>
        <v/>
      </c>
      <c r="AT17" s="133" t="str">
        <f t="shared" si="10"/>
        <v/>
      </c>
      <c r="AU17" s="21" t="str">
        <f t="shared" si="11"/>
        <v/>
      </c>
      <c r="AV17" s="576" t="str">
        <f t="shared" si="12"/>
        <v/>
      </c>
      <c r="AW17" s="576" t="str">
        <f t="shared" si="13"/>
        <v/>
      </c>
      <c r="AX17" s="576" t="str">
        <f t="shared" si="14"/>
        <v/>
      </c>
      <c r="AY17" s="23" t="str">
        <f t="shared" si="15"/>
        <v/>
      </c>
      <c r="AZ17" s="23" t="str">
        <f t="shared" si="16"/>
        <v/>
      </c>
      <c r="BA17" s="11"/>
      <c r="BB17" s="11"/>
      <c r="BC17" s="11"/>
      <c r="BD17" s="11"/>
      <c r="BE17" s="11"/>
      <c r="BF17" s="11"/>
      <c r="BG17" s="11"/>
      <c r="BH17" s="11"/>
      <c r="BI17" s="11"/>
      <c r="BJ17" s="11"/>
      <c r="BK17" s="11"/>
      <c r="BL17" s="11"/>
      <c r="BM17" s="11"/>
      <c r="BN17" s="11"/>
      <c r="BO17" s="11"/>
      <c r="BP17" s="11"/>
      <c r="BQ17" s="11"/>
      <c r="BR17" s="11"/>
    </row>
    <row r="18" spans="1:70" ht="19.5" customHeight="1">
      <c r="A18" s="11"/>
      <c r="B18" s="18">
        <v>8</v>
      </c>
      <c r="C18" s="19" t="s">
        <v>514</v>
      </c>
      <c r="D18" s="31"/>
      <c r="E18" s="31"/>
      <c r="F18" s="31"/>
      <c r="G18" s="149" t="str">
        <f>IFERROR(VLOOKUP(F18, 'Lookup Tables'!$B$5:$C$2226, 2, FALSE), "")</f>
        <v/>
      </c>
      <c r="H18" s="13"/>
      <c r="I18" s="31"/>
      <c r="J18" s="31"/>
      <c r="K18" s="32"/>
      <c r="L18" s="32"/>
      <c r="M18" s="32"/>
      <c r="N18" s="32"/>
      <c r="O18" s="31"/>
      <c r="P18" s="31"/>
      <c r="Q18" s="110"/>
      <c r="R18" s="31"/>
      <c r="S18" s="31"/>
      <c r="T18" s="231" t="str">
        <f>IFERROR(VLOOKUP(E18, 'Lookup Tables'!$AC$5:$AL$19, MATCH(G18, 'Lookup Tables'!$AD$5:$AL$5,1)+1, FALSE),"")</f>
        <v/>
      </c>
      <c r="U18" s="231" t="str">
        <f>IFERROR(VLOOKUP(E18, 'Lookup Tables'!$G$5:$P$27, MATCH(G18, 'Lookup Tables'!$H$5:$P$5,1)+1, FALSE), "")</f>
        <v/>
      </c>
      <c r="V18" s="231" t="str">
        <f>IFERROR(VLOOKUP(E18, 'Lookup Tables'!$R$5:$AA$27, MATCH(G18, 'Lookup Tables'!$S$5:$AA$5,1)+1, FALSE), "")</f>
        <v/>
      </c>
      <c r="W18" s="158">
        <f t="shared" si="0"/>
        <v>11.3</v>
      </c>
      <c r="X18" s="158">
        <f t="shared" si="1"/>
        <v>3.4119999999999999</v>
      </c>
      <c r="Y18" s="158" t="str">
        <f t="shared" si="26"/>
        <v/>
      </c>
      <c r="Z18" s="232" t="str">
        <f t="shared" si="17"/>
        <v/>
      </c>
      <c r="AA18" s="638"/>
      <c r="AB18" s="226" t="str">
        <f>IF(K18&lt;1,"",IF(Q18&lt;65000,1.0578*AA18-0.01769,AA18))</f>
        <v/>
      </c>
      <c r="AC18" s="226" t="str">
        <f t="shared" si="2"/>
        <v/>
      </c>
      <c r="AD18" s="232" t="str">
        <f t="shared" si="19"/>
        <v/>
      </c>
      <c r="AE18" s="638"/>
      <c r="AF18" s="226" t="str">
        <f t="shared" si="3"/>
        <v/>
      </c>
      <c r="AG18" s="226" t="str">
        <f t="shared" si="20"/>
        <v/>
      </c>
      <c r="AH18" s="232" t="str">
        <f t="shared" si="21"/>
        <v/>
      </c>
      <c r="AI18" s="638"/>
      <c r="AJ18" s="226" t="str">
        <f t="shared" si="22"/>
        <v/>
      </c>
      <c r="AK18" s="498" t="str">
        <f t="shared" si="4"/>
        <v/>
      </c>
      <c r="AL18" s="498" t="str">
        <f t="shared" si="5"/>
        <v/>
      </c>
      <c r="AM18" s="157" t="str">
        <f t="shared" si="6"/>
        <v/>
      </c>
      <c r="AN18" s="157" t="str">
        <f t="shared" si="7"/>
        <v/>
      </c>
      <c r="AO18" s="518" t="str">
        <f t="shared" si="8"/>
        <v/>
      </c>
      <c r="AP18" s="642" t="str">
        <f t="shared" si="23"/>
        <v/>
      </c>
      <c r="AQ18" s="160" t="str">
        <f t="shared" si="24"/>
        <v/>
      </c>
      <c r="AR18" s="21" t="str">
        <f t="shared" si="25"/>
        <v/>
      </c>
      <c r="AS18" s="133" t="str">
        <f t="shared" si="9"/>
        <v/>
      </c>
      <c r="AT18" s="133" t="str">
        <f t="shared" si="10"/>
        <v/>
      </c>
      <c r="AU18" s="21" t="str">
        <f t="shared" si="11"/>
        <v/>
      </c>
      <c r="AV18" s="576" t="str">
        <f t="shared" si="12"/>
        <v/>
      </c>
      <c r="AW18" s="576" t="str">
        <f t="shared" si="13"/>
        <v/>
      </c>
      <c r="AX18" s="576" t="str">
        <f t="shared" si="14"/>
        <v/>
      </c>
      <c r="AY18" s="23" t="str">
        <f t="shared" si="15"/>
        <v/>
      </c>
      <c r="AZ18" s="23" t="str">
        <f t="shared" si="16"/>
        <v/>
      </c>
      <c r="BA18" s="11"/>
      <c r="BB18" s="11"/>
      <c r="BC18" s="11"/>
      <c r="BD18" s="11"/>
      <c r="BE18" s="11"/>
      <c r="BF18" s="11"/>
      <c r="BG18" s="11"/>
      <c r="BH18" s="11"/>
      <c r="BI18" s="11"/>
      <c r="BJ18" s="11"/>
      <c r="BK18" s="11"/>
      <c r="BL18" s="11"/>
      <c r="BM18" s="11"/>
      <c r="BN18" s="11"/>
      <c r="BO18" s="11"/>
      <c r="BP18" s="11"/>
      <c r="BQ18" s="11"/>
      <c r="BR18" s="11"/>
    </row>
    <row r="19" spans="1:70" ht="3.75" customHeight="1">
      <c r="A19" s="11"/>
      <c r="B19" s="190"/>
      <c r="C19" s="190"/>
      <c r="D19" s="190"/>
      <c r="E19" s="190"/>
      <c r="F19" s="190"/>
      <c r="G19" s="190"/>
      <c r="H19" s="190"/>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575" t="str">
        <f t="shared" ref="AJ19" si="27">IF(K19&gt;=1,IF(R19&lt;65000,(AI19-0.07)/1.1702,AI19),"")</f>
        <v/>
      </c>
      <c r="AK19" s="190"/>
      <c r="AL19" s="190"/>
      <c r="AM19" s="190"/>
      <c r="AN19" s="190"/>
      <c r="AO19" s="190"/>
      <c r="AP19" s="190"/>
      <c r="AQ19" s="190"/>
      <c r="AR19" s="190"/>
      <c r="AS19" s="190"/>
      <c r="AT19" s="190"/>
      <c r="AU19" s="190"/>
      <c r="AV19" s="11"/>
      <c r="AW19" s="11"/>
      <c r="AX19" s="11"/>
      <c r="AY19" s="11"/>
      <c r="AZ19" s="11"/>
      <c r="BA19" s="11"/>
      <c r="BB19" s="11"/>
      <c r="BC19" s="11"/>
      <c r="BD19" s="11"/>
      <c r="BE19" s="11"/>
      <c r="BF19" s="11"/>
      <c r="BG19" s="11"/>
      <c r="BH19" s="11"/>
      <c r="BI19" s="11"/>
      <c r="BJ19" s="11"/>
      <c r="BK19" s="11"/>
      <c r="BL19" s="11"/>
      <c r="BM19" s="11"/>
      <c r="BN19" s="11"/>
      <c r="BO19" s="11"/>
      <c r="BP19" s="11"/>
      <c r="BQ19" s="11"/>
      <c r="BR19" s="11"/>
    </row>
    <row r="20" spans="1:70" ht="13.5" hidden="1"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row>
    <row r="21" spans="1:70" hidden="1">
      <c r="A21" s="11"/>
      <c r="B21" s="11"/>
      <c r="C21" s="53"/>
      <c r="D21" s="53"/>
      <c r="E21" s="53"/>
      <c r="F21" s="53"/>
      <c r="G21" s="53"/>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267"/>
      <c r="AV21" s="11"/>
      <c r="AW21" s="11"/>
      <c r="AX21" s="11"/>
      <c r="AY21" s="11"/>
      <c r="AZ21" s="11"/>
      <c r="BA21" s="11"/>
      <c r="BB21" s="11"/>
      <c r="BC21" s="11"/>
      <c r="BD21" s="11"/>
      <c r="BE21" s="11"/>
      <c r="BF21" s="11"/>
      <c r="BG21" s="11"/>
      <c r="BH21" s="11"/>
      <c r="BI21" s="11"/>
      <c r="BJ21" s="11"/>
      <c r="BK21" s="11"/>
      <c r="BL21" s="11"/>
      <c r="BM21" s="11"/>
      <c r="BN21" s="11"/>
      <c r="BO21" s="11"/>
      <c r="BP21" s="11"/>
      <c r="BQ21" s="11"/>
      <c r="BR21" s="11"/>
    </row>
    <row r="22" spans="1:70" hidden="1">
      <c r="A22" s="147"/>
      <c r="B22" s="147"/>
      <c r="C22" s="4" t="s">
        <v>519</v>
      </c>
      <c r="D22" s="53"/>
      <c r="E22" s="112" t="s">
        <v>168</v>
      </c>
      <c r="F22" s="53"/>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row>
    <row r="23" spans="1:70" hidden="1">
      <c r="A23" s="147"/>
      <c r="B23" s="147"/>
      <c r="C23" s="271" t="s">
        <v>520</v>
      </c>
      <c r="D23" s="53"/>
      <c r="E23" s="22">
        <v>15</v>
      </c>
      <c r="F23" s="53"/>
      <c r="G23" s="11"/>
      <c r="H23" s="776" t="s">
        <v>521</v>
      </c>
      <c r="I23" s="776"/>
      <c r="J23" s="776"/>
      <c r="K23" s="777" t="s">
        <v>522</v>
      </c>
      <c r="L23" s="489" t="s">
        <v>45</v>
      </c>
      <c r="M23" s="488" t="s">
        <v>523</v>
      </c>
      <c r="N23" s="11"/>
      <c r="O23" s="11"/>
      <c r="P23" s="11"/>
      <c r="Q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267"/>
      <c r="AV23" s="11"/>
      <c r="AW23" s="11"/>
      <c r="AX23" s="11"/>
      <c r="AY23" s="11"/>
      <c r="AZ23" s="11"/>
      <c r="BA23" s="11"/>
      <c r="BB23" s="11"/>
      <c r="BC23" s="11"/>
      <c r="BD23" s="11"/>
      <c r="BE23" s="11"/>
      <c r="BF23" s="11"/>
      <c r="BG23" s="11"/>
      <c r="BH23" s="11"/>
      <c r="BI23" s="11"/>
      <c r="BJ23" s="11"/>
      <c r="BK23" s="11"/>
      <c r="BL23" s="11"/>
      <c r="BM23" s="11"/>
      <c r="BN23" s="11"/>
      <c r="BO23" s="11"/>
      <c r="BP23" s="11"/>
      <c r="BQ23" s="11"/>
      <c r="BR23" s="11"/>
    </row>
    <row r="24" spans="1:70" hidden="1">
      <c r="A24" s="147"/>
      <c r="B24" s="147"/>
      <c r="C24" s="271" t="s">
        <v>515</v>
      </c>
      <c r="D24" s="53"/>
      <c r="E24" s="11"/>
      <c r="F24" s="53"/>
      <c r="G24" s="4" t="s">
        <v>250</v>
      </c>
      <c r="H24" s="465" t="s">
        <v>205</v>
      </c>
      <c r="I24" s="465" t="s">
        <v>513</v>
      </c>
      <c r="J24" s="465" t="s">
        <v>361</v>
      </c>
      <c r="K24" s="778"/>
      <c r="L24" s="490"/>
      <c r="M24" s="465"/>
      <c r="N24" s="4" t="s">
        <v>134</v>
      </c>
      <c r="O24" s="4" t="s">
        <v>132</v>
      </c>
      <c r="P24" s="4" t="s">
        <v>143</v>
      </c>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row>
    <row r="25" spans="1:70" hidden="1">
      <c r="A25" s="147"/>
      <c r="B25" s="147"/>
      <c r="C25" s="271" t="s">
        <v>518</v>
      </c>
      <c r="D25" s="53"/>
      <c r="E25" s="11"/>
      <c r="F25" s="53"/>
      <c r="G25" s="83" t="s">
        <v>516</v>
      </c>
      <c r="H25" s="579">
        <v>20</v>
      </c>
      <c r="I25" s="580">
        <v>12.5</v>
      </c>
      <c r="J25" s="579">
        <v>10</v>
      </c>
      <c r="K25" s="23" t="s">
        <v>524</v>
      </c>
      <c r="L25" s="273">
        <v>150</v>
      </c>
      <c r="M25" s="22" t="s">
        <v>525</v>
      </c>
      <c r="N25" s="388" t="s">
        <v>526</v>
      </c>
      <c r="O25" s="23" t="s">
        <v>527</v>
      </c>
      <c r="P25" s="23" t="s">
        <v>528</v>
      </c>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row>
    <row r="26" spans="1:70" hidden="1">
      <c r="A26" s="147"/>
      <c r="B26" s="147"/>
      <c r="C26" s="271" t="s">
        <v>529</v>
      </c>
      <c r="D26" s="53"/>
      <c r="E26" s="11"/>
      <c r="F26" s="53"/>
      <c r="G26" s="83" t="s">
        <v>530</v>
      </c>
      <c r="H26" s="579">
        <v>20</v>
      </c>
      <c r="I26" s="580">
        <v>12.5</v>
      </c>
      <c r="J26" s="579">
        <v>10</v>
      </c>
      <c r="K26" s="23" t="s">
        <v>524</v>
      </c>
      <c r="L26" s="273">
        <v>150</v>
      </c>
      <c r="M26" s="22" t="s">
        <v>525</v>
      </c>
      <c r="N26" s="388" t="s">
        <v>526</v>
      </c>
      <c r="O26" s="23" t="s">
        <v>531</v>
      </c>
      <c r="P26" s="23" t="s">
        <v>528</v>
      </c>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row>
    <row r="27" spans="1:70" hidden="1">
      <c r="A27" s="147"/>
      <c r="B27" s="147"/>
      <c r="C27" s="271" t="s">
        <v>55</v>
      </c>
      <c r="D27" s="53"/>
      <c r="E27" s="11"/>
      <c r="F27" s="53"/>
      <c r="G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row>
    <row r="28" spans="1:70" hidden="1">
      <c r="A28" s="147"/>
      <c r="B28" s="147"/>
      <c r="C28" s="271" t="s">
        <v>56</v>
      </c>
      <c r="D28" s="53"/>
      <c r="E28" s="4" t="s">
        <v>532</v>
      </c>
      <c r="F28" s="53"/>
      <c r="G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row>
    <row r="29" spans="1:70" hidden="1">
      <c r="A29" s="147"/>
      <c r="B29" s="147"/>
      <c r="C29" s="23" t="s">
        <v>57</v>
      </c>
      <c r="D29" s="53"/>
      <c r="E29" s="23" t="s">
        <v>533</v>
      </c>
      <c r="F29" s="53"/>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row>
    <row r="30" spans="1:70" hidden="1">
      <c r="A30" s="147"/>
      <c r="B30" s="147"/>
      <c r="C30" s="23" t="s">
        <v>534</v>
      </c>
      <c r="D30" s="53"/>
      <c r="E30" s="23" t="s">
        <v>535</v>
      </c>
      <c r="F30" s="53"/>
      <c r="G30" s="53"/>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row>
    <row r="31" spans="1:70" hidden="1">
      <c r="A31" s="147"/>
      <c r="B31" s="147"/>
      <c r="D31" s="53"/>
      <c r="E31" s="53"/>
      <c r="F31" s="53"/>
      <c r="G31" s="53"/>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378"/>
      <c r="BH31" s="378"/>
      <c r="BI31" s="11"/>
      <c r="BJ31" s="11"/>
      <c r="BK31" s="11"/>
      <c r="BL31" s="11"/>
      <c r="BM31" s="11"/>
      <c r="BN31" s="11"/>
      <c r="BO31" s="11"/>
      <c r="BP31" s="11"/>
      <c r="BQ31" s="11"/>
      <c r="BR31" s="11"/>
    </row>
    <row r="32" spans="1:70" hidden="1">
      <c r="A32" s="147"/>
      <c r="B32" s="147"/>
      <c r="C32" s="4" t="s">
        <v>536</v>
      </c>
      <c r="D32" s="53"/>
      <c r="E32" s="11"/>
      <c r="F32" s="503" t="s">
        <v>251</v>
      </c>
      <c r="G32" s="504"/>
      <c r="H32" s="504"/>
      <c r="I32" s="504"/>
      <c r="J32" s="504"/>
      <c r="K32" s="504"/>
      <c r="L32" s="504"/>
      <c r="M32" s="503" t="s">
        <v>365</v>
      </c>
      <c r="N32" s="504"/>
      <c r="O32" s="504"/>
      <c r="P32" s="504"/>
      <c r="Q32" s="504"/>
      <c r="R32" s="504"/>
      <c r="S32" s="504"/>
      <c r="V32" s="504"/>
      <c r="W32" s="505"/>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row>
    <row r="33" spans="1:70" s="379" customFormat="1" ht="45" hidden="1">
      <c r="A33" s="372"/>
      <c r="B33" s="372"/>
      <c r="C33" s="85" t="s">
        <v>520</v>
      </c>
      <c r="D33" s="373"/>
      <c r="E33" s="374" t="s">
        <v>537</v>
      </c>
      <c r="F33" s="375" t="s">
        <v>520</v>
      </c>
      <c r="G33" s="603" t="s">
        <v>515</v>
      </c>
      <c r="H33" s="603" t="s">
        <v>518</v>
      </c>
      <c r="I33" s="604" t="s">
        <v>529</v>
      </c>
      <c r="J33" s="377" t="s">
        <v>55</v>
      </c>
      <c r="K33" s="454" t="s">
        <v>56</v>
      </c>
      <c r="L33" s="454" t="s">
        <v>57</v>
      </c>
      <c r="M33" s="454" t="s">
        <v>534</v>
      </c>
      <c r="N33" s="603" t="s">
        <v>520</v>
      </c>
      <c r="O33" s="603" t="s">
        <v>515</v>
      </c>
      <c r="P33" s="603" t="s">
        <v>518</v>
      </c>
      <c r="Q33" s="454" t="s">
        <v>538</v>
      </c>
      <c r="R33" s="376" t="s">
        <v>243</v>
      </c>
      <c r="S33" s="376" t="s">
        <v>539</v>
      </c>
      <c r="V33" s="376" t="s">
        <v>540</v>
      </c>
      <c r="W33" s="454" t="s">
        <v>486</v>
      </c>
      <c r="X33" s="378"/>
      <c r="Y33" s="378"/>
      <c r="Z33" s="378"/>
      <c r="AA33" s="378"/>
      <c r="AB33" s="11"/>
      <c r="AC33" s="11"/>
      <c r="AD33" s="11"/>
      <c r="AE33" s="11"/>
      <c r="AF33" s="11"/>
      <c r="AG33" s="11"/>
      <c r="AH33" s="11"/>
      <c r="AI33" s="11"/>
      <c r="AJ33" s="11"/>
      <c r="AK33" s="11"/>
      <c r="AL33" s="11"/>
      <c r="AM33" s="11"/>
      <c r="AN33" s="11"/>
      <c r="AO33" s="11"/>
      <c r="AP33" s="378"/>
      <c r="AQ33" s="378"/>
      <c r="AR33" s="378"/>
      <c r="AS33" s="378"/>
      <c r="AT33" s="378"/>
      <c r="AU33" s="11"/>
      <c r="AV33" s="11"/>
      <c r="AW33" s="11"/>
      <c r="AX33" s="11"/>
      <c r="AY33" s="11"/>
      <c r="AZ33" s="11"/>
      <c r="BA33" s="11"/>
      <c r="BB33" s="11"/>
      <c r="BC33" s="11"/>
      <c r="BD33" s="11"/>
      <c r="BE33" s="11"/>
      <c r="BF33" s="11"/>
      <c r="BG33" s="11"/>
      <c r="BH33" s="11"/>
      <c r="BI33" s="378"/>
      <c r="BJ33" s="378"/>
      <c r="BK33" s="378"/>
      <c r="BL33" s="378"/>
      <c r="BM33" s="378"/>
      <c r="BN33" s="378"/>
      <c r="BO33" s="378"/>
      <c r="BP33" s="378"/>
      <c r="BQ33" s="378"/>
      <c r="BR33" s="378"/>
    </row>
    <row r="34" spans="1:70" hidden="1">
      <c r="A34" s="147"/>
      <c r="B34" s="147"/>
      <c r="C34" s="271" t="s">
        <v>515</v>
      </c>
      <c r="D34" s="53"/>
      <c r="E34" s="43">
        <v>1</v>
      </c>
      <c r="F34" s="578">
        <v>15</v>
      </c>
      <c r="G34" s="605">
        <v>15</v>
      </c>
      <c r="H34" s="605">
        <v>13.9</v>
      </c>
      <c r="I34" s="605">
        <v>13.9</v>
      </c>
      <c r="J34" s="43">
        <v>11.3</v>
      </c>
      <c r="K34" s="43">
        <f t="shared" ref="K34:K41" si="28">ROUND((10.9-(0.213*Q11/1000))*(13/11.3), 2)</f>
        <v>12.54</v>
      </c>
      <c r="L34" s="43">
        <f t="shared" ref="L34:L41" si="29">ROUND((10.8-(0.213*Q11/1000))*(13/11.3), 2)</f>
        <v>12.42</v>
      </c>
      <c r="M34" s="43">
        <v>11.3</v>
      </c>
      <c r="N34" s="437">
        <v>8.8000000000000007</v>
      </c>
      <c r="O34" s="437">
        <v>8.8000000000000007</v>
      </c>
      <c r="P34" s="437">
        <v>7.9</v>
      </c>
      <c r="Q34" s="275">
        <f t="shared" ref="Q34:Q41" si="30">ROUND((2.9-(0.026*R11/1000))*3.412, 2)</f>
        <v>9.89</v>
      </c>
      <c r="R34" s="22">
        <v>3.4119999999999999</v>
      </c>
      <c r="S34" s="22">
        <v>3.2410000000000001</v>
      </c>
      <c r="V34" s="22">
        <v>3.4119999999999999</v>
      </c>
      <c r="W34" s="22">
        <v>3.4119999999999999</v>
      </c>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row>
    <row r="35" spans="1:70" hidden="1">
      <c r="A35" s="147"/>
      <c r="B35" s="147"/>
      <c r="C35" s="271" t="s">
        <v>518</v>
      </c>
      <c r="D35" s="53"/>
      <c r="E35" s="43">
        <v>2</v>
      </c>
      <c r="F35" s="578">
        <v>15</v>
      </c>
      <c r="G35" s="605">
        <v>15</v>
      </c>
      <c r="H35" s="605">
        <v>13.9</v>
      </c>
      <c r="I35" s="605">
        <v>13.9</v>
      </c>
      <c r="J35" s="43">
        <v>11.3</v>
      </c>
      <c r="K35" s="43">
        <f t="shared" si="28"/>
        <v>12.54</v>
      </c>
      <c r="L35" s="43">
        <f t="shared" si="29"/>
        <v>12.42</v>
      </c>
      <c r="M35" s="43">
        <v>11.3</v>
      </c>
      <c r="N35" s="437">
        <v>8.8000000000000007</v>
      </c>
      <c r="O35" s="437">
        <v>8.8000000000000007</v>
      </c>
      <c r="P35" s="437">
        <v>7.9</v>
      </c>
      <c r="Q35" s="275">
        <f t="shared" si="30"/>
        <v>9.89</v>
      </c>
      <c r="R35" s="22">
        <v>3.4119999999999999</v>
      </c>
      <c r="S35" s="22">
        <v>3.2410000000000001</v>
      </c>
      <c r="V35" s="22">
        <v>3.4119999999999999</v>
      </c>
      <c r="W35" s="22">
        <v>3.4119999999999999</v>
      </c>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row>
    <row r="36" spans="1:70" hidden="1">
      <c r="A36" s="147"/>
      <c r="B36" s="147"/>
      <c r="C36" s="85" t="s">
        <v>538</v>
      </c>
      <c r="D36" s="53"/>
      <c r="E36" s="43">
        <v>3</v>
      </c>
      <c r="F36" s="578">
        <v>15</v>
      </c>
      <c r="G36" s="605">
        <v>15</v>
      </c>
      <c r="H36" s="605">
        <v>13.9</v>
      </c>
      <c r="I36" s="605">
        <v>13.9</v>
      </c>
      <c r="J36" s="43">
        <v>11.3</v>
      </c>
      <c r="K36" s="43">
        <f t="shared" si="28"/>
        <v>12.54</v>
      </c>
      <c r="L36" s="43">
        <f t="shared" si="29"/>
        <v>12.42</v>
      </c>
      <c r="M36" s="43">
        <v>11.3</v>
      </c>
      <c r="N36" s="437">
        <v>8.8000000000000007</v>
      </c>
      <c r="O36" s="437">
        <v>8.8000000000000007</v>
      </c>
      <c r="P36" s="437">
        <v>7.9</v>
      </c>
      <c r="Q36" s="275">
        <f t="shared" si="30"/>
        <v>9.89</v>
      </c>
      <c r="R36" s="22">
        <v>3.4119999999999999</v>
      </c>
      <c r="S36" s="22">
        <v>3.2410000000000001</v>
      </c>
      <c r="V36" s="22">
        <v>3.4119999999999999</v>
      </c>
      <c r="W36" s="22">
        <v>3.4119999999999999</v>
      </c>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row>
    <row r="37" spans="1:70" hidden="1">
      <c r="A37" s="147"/>
      <c r="B37" s="147"/>
      <c r="C37" s="85" t="s">
        <v>243</v>
      </c>
      <c r="D37" s="53"/>
      <c r="E37" s="43">
        <v>4</v>
      </c>
      <c r="F37" s="578">
        <v>15</v>
      </c>
      <c r="G37" s="605">
        <v>15</v>
      </c>
      <c r="H37" s="605">
        <v>13.9</v>
      </c>
      <c r="I37" s="605">
        <v>13.9</v>
      </c>
      <c r="J37" s="43">
        <v>11.3</v>
      </c>
      <c r="K37" s="43">
        <f t="shared" si="28"/>
        <v>12.54</v>
      </c>
      <c r="L37" s="43">
        <f t="shared" si="29"/>
        <v>12.42</v>
      </c>
      <c r="M37" s="43">
        <v>11.3</v>
      </c>
      <c r="N37" s="437">
        <v>8.8000000000000007</v>
      </c>
      <c r="O37" s="437">
        <v>8.8000000000000007</v>
      </c>
      <c r="P37" s="437">
        <v>7.9</v>
      </c>
      <c r="Q37" s="275">
        <f t="shared" si="30"/>
        <v>9.89</v>
      </c>
      <c r="R37" s="22">
        <v>3.4119999999999999</v>
      </c>
      <c r="S37" s="22">
        <v>3.2410000000000001</v>
      </c>
      <c r="V37" s="22">
        <v>3.4119999999999999</v>
      </c>
      <c r="W37" s="22">
        <v>3.4119999999999999</v>
      </c>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row>
    <row r="38" spans="1:70" hidden="1">
      <c r="A38" s="147"/>
      <c r="B38" s="147"/>
      <c r="C38" s="85" t="s">
        <v>539</v>
      </c>
      <c r="D38" s="53"/>
      <c r="E38" s="43">
        <v>5</v>
      </c>
      <c r="F38" s="578">
        <v>15</v>
      </c>
      <c r="G38" s="605">
        <v>15</v>
      </c>
      <c r="H38" s="605">
        <v>13.9</v>
      </c>
      <c r="I38" s="605">
        <v>13.9</v>
      </c>
      <c r="J38" s="43">
        <v>11.3</v>
      </c>
      <c r="K38" s="43">
        <f t="shared" si="28"/>
        <v>12.54</v>
      </c>
      <c r="L38" s="43">
        <f t="shared" si="29"/>
        <v>12.42</v>
      </c>
      <c r="M38" s="43">
        <v>11.3</v>
      </c>
      <c r="N38" s="437">
        <v>8.8000000000000007</v>
      </c>
      <c r="O38" s="437">
        <v>8.8000000000000007</v>
      </c>
      <c r="P38" s="437">
        <v>7.9</v>
      </c>
      <c r="Q38" s="275">
        <f t="shared" si="30"/>
        <v>9.89</v>
      </c>
      <c r="R38" s="22">
        <v>3.4119999999999999</v>
      </c>
      <c r="S38" s="22">
        <v>3.2410000000000001</v>
      </c>
      <c r="V38" s="22">
        <v>3.4119999999999999</v>
      </c>
      <c r="W38" s="22">
        <v>3.4119999999999999</v>
      </c>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row>
    <row r="39" spans="1:70" hidden="1">
      <c r="A39" s="147"/>
      <c r="B39" s="147"/>
      <c r="C39" s="85" t="s">
        <v>540</v>
      </c>
      <c r="D39" s="53"/>
      <c r="E39" s="43">
        <v>6</v>
      </c>
      <c r="F39" s="578">
        <v>15</v>
      </c>
      <c r="G39" s="605">
        <v>15</v>
      </c>
      <c r="H39" s="605">
        <v>13.9</v>
      </c>
      <c r="I39" s="605">
        <v>13.9</v>
      </c>
      <c r="J39" s="43">
        <v>11.3</v>
      </c>
      <c r="K39" s="43">
        <f t="shared" si="28"/>
        <v>12.54</v>
      </c>
      <c r="L39" s="43">
        <f t="shared" si="29"/>
        <v>12.42</v>
      </c>
      <c r="M39" s="43">
        <v>11.3</v>
      </c>
      <c r="N39" s="437">
        <v>8.8000000000000007</v>
      </c>
      <c r="O39" s="437">
        <v>8.8000000000000007</v>
      </c>
      <c r="P39" s="437">
        <v>7.9</v>
      </c>
      <c r="Q39" s="275">
        <f t="shared" si="30"/>
        <v>9.89</v>
      </c>
      <c r="R39" s="22">
        <v>3.4119999999999999</v>
      </c>
      <c r="S39" s="22">
        <v>3.2410000000000001</v>
      </c>
      <c r="V39" s="22">
        <v>3.4119999999999999</v>
      </c>
      <c r="W39" s="22">
        <v>3.4119999999999999</v>
      </c>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row>
    <row r="40" spans="1:70" hidden="1">
      <c r="A40" s="147"/>
      <c r="B40" s="147"/>
      <c r="C40" s="85" t="s">
        <v>486</v>
      </c>
      <c r="D40" s="53"/>
      <c r="E40" s="43">
        <v>7</v>
      </c>
      <c r="F40" s="578">
        <v>15</v>
      </c>
      <c r="G40" s="605">
        <v>15</v>
      </c>
      <c r="H40" s="605">
        <v>13.9</v>
      </c>
      <c r="I40" s="605">
        <v>13.9</v>
      </c>
      <c r="J40" s="43">
        <v>11.3</v>
      </c>
      <c r="K40" s="43">
        <f t="shared" si="28"/>
        <v>12.54</v>
      </c>
      <c r="L40" s="43">
        <f t="shared" si="29"/>
        <v>12.42</v>
      </c>
      <c r="M40" s="43">
        <v>11.3</v>
      </c>
      <c r="N40" s="437">
        <v>8.8000000000000007</v>
      </c>
      <c r="O40" s="437">
        <v>8.8000000000000007</v>
      </c>
      <c r="P40" s="437">
        <v>7.9</v>
      </c>
      <c r="Q40" s="275">
        <f t="shared" si="30"/>
        <v>9.89</v>
      </c>
      <c r="R40" s="22">
        <v>3.4119999999999999</v>
      </c>
      <c r="S40" s="22">
        <v>3.2410000000000001</v>
      </c>
      <c r="V40" s="22">
        <v>3.4119999999999999</v>
      </c>
      <c r="W40" s="22">
        <v>3.4119999999999999</v>
      </c>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row>
    <row r="41" spans="1:70" hidden="1">
      <c r="A41" s="147"/>
      <c r="B41" s="147"/>
      <c r="C41" s="11"/>
      <c r="D41" s="53"/>
      <c r="E41" s="43">
        <v>8</v>
      </c>
      <c r="F41" s="578">
        <v>15</v>
      </c>
      <c r="G41" s="605">
        <v>15</v>
      </c>
      <c r="H41" s="605">
        <v>13.9</v>
      </c>
      <c r="I41" s="605">
        <v>13.9</v>
      </c>
      <c r="J41" s="43">
        <v>11.3</v>
      </c>
      <c r="K41" s="43">
        <f t="shared" si="28"/>
        <v>12.54</v>
      </c>
      <c r="L41" s="43">
        <f t="shared" si="29"/>
        <v>12.42</v>
      </c>
      <c r="M41" s="43">
        <v>11.3</v>
      </c>
      <c r="N41" s="437">
        <v>8.8000000000000007</v>
      </c>
      <c r="O41" s="437">
        <v>8.8000000000000007</v>
      </c>
      <c r="P41" s="437">
        <v>7.9</v>
      </c>
      <c r="Q41" s="275">
        <f t="shared" si="30"/>
        <v>9.89</v>
      </c>
      <c r="R41" s="22">
        <v>3.4119999999999999</v>
      </c>
      <c r="S41" s="22">
        <v>3.2410000000000001</v>
      </c>
      <c r="V41" s="22">
        <v>3.4119999999999999</v>
      </c>
      <c r="W41" s="22">
        <v>3.4119999999999999</v>
      </c>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row>
    <row r="42" spans="1:70" hidden="1">
      <c r="A42" s="147"/>
      <c r="B42" s="147"/>
      <c r="C42" s="11"/>
      <c r="D42" s="53"/>
      <c r="E42" s="53"/>
      <c r="F42" s="53"/>
      <c r="G42" s="53"/>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row>
    <row r="43" spans="1:70" hidden="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row>
    <row r="44" spans="1:70">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row>
    <row r="45" spans="1:70">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row>
    <row r="46" spans="1:70">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row>
    <row r="47" spans="1:70">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row>
    <row r="48" spans="1:70">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row>
    <row r="49" spans="1:70">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row>
    <row r="50" spans="1:70">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row>
    <row r="51" spans="1:70">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row>
    <row r="52" spans="1:70">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row>
    <row r="53" spans="1:70">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row>
    <row r="54" spans="1:70">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row>
    <row r="55" spans="1:70">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row>
    <row r="56" spans="1:70">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row>
    <row r="57" spans="1:70">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row>
    <row r="58" spans="1:70">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row>
    <row r="59" spans="1:70">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row>
    <row r="60" spans="1:70">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row>
    <row r="61" spans="1:70">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row>
    <row r="62" spans="1:70">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row>
    <row r="63" spans="1:70">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row>
    <row r="64" spans="1:70">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row>
    <row r="65" spans="1:70">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row>
    <row r="66" spans="1:70">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row>
    <row r="67" spans="1:70">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row>
    <row r="68" spans="1:70">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row>
    <row r="69" spans="1:70">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row>
    <row r="70" spans="1:70">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row>
    <row r="71" spans="1:70">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row>
    <row r="72" spans="1:70">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row>
    <row r="73" spans="1:70">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row>
    <row r="74" spans="1:70">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row>
    <row r="75" spans="1:70">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row>
    <row r="76" spans="1:70">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row>
    <row r="77" spans="1:70">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row>
    <row r="78" spans="1:70">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row>
    <row r="79" spans="1:70">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row>
    <row r="80" spans="1:70">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row>
    <row r="81" spans="1:70">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row>
    <row r="82" spans="1:70">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row>
    <row r="83" spans="1:70">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row>
    <row r="84" spans="1:70">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row>
    <row r="85" spans="1:70">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row>
    <row r="86" spans="1:70">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row>
    <row r="87" spans="1:70">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row>
    <row r="88" spans="1:70">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row>
    <row r="89" spans="1:70">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row>
    <row r="90" spans="1:70">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row>
    <row r="91" spans="1:70">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row>
    <row r="92" spans="1:70">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row>
    <row r="93" spans="1:70">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row>
    <row r="94" spans="1:70">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row>
    <row r="95" spans="1:70">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row>
    <row r="96" spans="1:70">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row>
    <row r="97" spans="1:70">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row>
    <row r="98" spans="1:70">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row>
    <row r="99" spans="1:70">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row>
    <row r="100" spans="1:70">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row>
    <row r="101" spans="1:70">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row>
    <row r="102" spans="1:70">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row>
    <row r="103" spans="1:70">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row>
    <row r="104" spans="1:70">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row>
    <row r="105" spans="1:70">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row>
    <row r="106" spans="1:70">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row>
    <row r="107" spans="1:70">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row>
    <row r="108" spans="1:70">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row>
    <row r="109" spans="1:70">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row>
    <row r="110" spans="1:70">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row>
    <row r="111" spans="1:70">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row>
    <row r="112" spans="1:70">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row>
    <row r="113" spans="1:70">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row>
    <row r="114" spans="1:70">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row>
    <row r="115" spans="1:70">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row>
    <row r="116" spans="1:70">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row>
    <row r="117" spans="1:70">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row>
    <row r="118" spans="1:70">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row>
    <row r="119" spans="1:70">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row>
    <row r="120" spans="1:70">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row>
    <row r="121" spans="1:70">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row>
    <row r="122" spans="1:70">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row>
    <row r="123" spans="1:70">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row>
    <row r="124" spans="1:70">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row>
    <row r="125" spans="1:70">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row>
    <row r="126" spans="1:70">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row>
    <row r="127" spans="1:70">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row>
    <row r="128" spans="1:70">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row>
    <row r="129" spans="1:70">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row>
    <row r="130" spans="1:70">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row>
    <row r="131" spans="1:70">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row>
    <row r="132" spans="1:70">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row>
    <row r="133" spans="1:70">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row>
    <row r="134" spans="1:70">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row>
    <row r="135" spans="1:70">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row>
    <row r="136" spans="1:70">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row>
    <row r="137" spans="1:70">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row>
    <row r="138" spans="1:70">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row>
    <row r="139" spans="1:70">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row>
    <row r="140" spans="1:70">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row>
    <row r="141" spans="1:70">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row>
    <row r="142" spans="1:70">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row>
    <row r="143" spans="1:70">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row>
    <row r="144" spans="1:70">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row>
    <row r="145" spans="1:70">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row>
    <row r="146" spans="1:70">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row>
    <row r="147" spans="1:70">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row>
    <row r="148" spans="1:70">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row>
    <row r="149" spans="1:70">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row>
    <row r="150" spans="1:70">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row>
    <row r="151" spans="1:70">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row>
    <row r="152" spans="1:70">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row>
    <row r="153" spans="1:70">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row>
    <row r="154" spans="1:70">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row>
    <row r="155" spans="1:70">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row>
    <row r="156" spans="1:70">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row>
    <row r="157" spans="1:70">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row>
    <row r="158" spans="1:70">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row>
    <row r="159" spans="1:70">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row>
    <row r="160" spans="1:70">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row>
    <row r="161" spans="1:70">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row>
    <row r="162" spans="1:70">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row>
    <row r="163" spans="1:70">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row>
    <row r="164" spans="1:70">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row>
    <row r="165" spans="1:70">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row>
    <row r="166" spans="1:70">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row>
    <row r="167" spans="1:70">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row>
    <row r="168" spans="1:70">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row>
    <row r="169" spans="1:70">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row>
    <row r="170" spans="1:70">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row>
    <row r="171" spans="1:70">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row>
    <row r="172" spans="1:70">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row>
    <row r="173" spans="1:70">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row>
    <row r="174" spans="1:70">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row>
    <row r="175" spans="1:70">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row>
    <row r="176" spans="1:70">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row>
    <row r="177" spans="1:70">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row>
    <row r="178" spans="1:70">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row>
    <row r="179" spans="1:70">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row>
    <row r="180" spans="1:70">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row>
    <row r="181" spans="1:70">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row>
    <row r="182" spans="1:70">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row>
    <row r="183" spans="1:70">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row>
    <row r="184" spans="1:70">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row>
    <row r="185" spans="1:70">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row>
    <row r="186" spans="1:70">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row>
    <row r="187" spans="1:70">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row>
    <row r="188" spans="1:70">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row>
    <row r="189" spans="1:70">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row>
    <row r="190" spans="1:70">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row>
    <row r="191" spans="1:70">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row>
    <row r="192" spans="1:70">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row>
    <row r="193" spans="1:70">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row>
    <row r="194" spans="1:70">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row>
    <row r="195" spans="1:70">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row>
    <row r="196" spans="1:70">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row>
    <row r="197" spans="1:70">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row>
    <row r="198" spans="1:70">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row>
    <row r="199" spans="1:70">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row>
    <row r="200" spans="1:70">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row>
    <row r="201" spans="1:70">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row>
    <row r="202" spans="1:70">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row>
    <row r="203" spans="1:70">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row>
    <row r="204" spans="1:70">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row>
    <row r="205" spans="1:70">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row>
    <row r="206" spans="1:70">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row>
    <row r="207" spans="1:70">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row>
    <row r="208" spans="1:70">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row>
    <row r="209" spans="1:70">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row>
    <row r="210" spans="1:70">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row>
    <row r="211" spans="1:70">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row>
    <row r="212" spans="1:70">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row>
    <row r="213" spans="1:70">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row>
    <row r="214" spans="1:70">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row>
    <row r="215" spans="1:70">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row>
    <row r="216" spans="1:70">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row>
    <row r="217" spans="1:70">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row>
    <row r="218" spans="1:70">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row>
    <row r="219" spans="1:70">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row>
    <row r="220" spans="1:70">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row>
    <row r="221" spans="1:70">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row>
    <row r="222" spans="1:70">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row>
    <row r="223" spans="1:70">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row>
    <row r="224" spans="1:70">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row>
    <row r="225" spans="1:70">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row>
    <row r="226" spans="1:70">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row>
    <row r="227" spans="1:70">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row>
    <row r="228" spans="1:70">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row>
    <row r="229" spans="1:70">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row>
    <row r="230" spans="1:70">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row>
    <row r="231" spans="1:70">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row>
    <row r="232" spans="1:70">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row>
    <row r="233" spans="1:70">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row>
    <row r="234" spans="1:70">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row>
    <row r="235" spans="1:70">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row>
    <row r="236" spans="1:70">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row>
    <row r="237" spans="1:70">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row>
    <row r="238" spans="1:70">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row>
    <row r="239" spans="1:70">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row>
    <row r="240" spans="1:70">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row>
    <row r="241" spans="1:70">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row>
    <row r="242" spans="1:70">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row>
    <row r="243" spans="1:70">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row>
    <row r="244" spans="1:70">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row>
    <row r="245" spans="1:70">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row>
    <row r="246" spans="1:70">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row>
    <row r="247" spans="1:70">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row>
    <row r="248" spans="1:70">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row>
    <row r="249" spans="1:70">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row>
    <row r="250" spans="1:70">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row>
    <row r="251" spans="1:70">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row>
    <row r="252" spans="1:70">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row>
    <row r="253" spans="1:70">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row>
    <row r="254" spans="1:70">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row>
    <row r="255" spans="1:70">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row>
    <row r="256" spans="1:70">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row>
    <row r="257" spans="1:70">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row>
    <row r="258" spans="1:70">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row>
    <row r="259" spans="1:70">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row>
    <row r="260" spans="1:70">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row>
    <row r="261" spans="1:70">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row>
    <row r="262" spans="1:70">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row>
    <row r="263" spans="1:70">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row>
    <row r="264" spans="1:70">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row>
    <row r="265" spans="1:70">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row>
    <row r="266" spans="1:70">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row>
    <row r="267" spans="1:70">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row>
    <row r="268" spans="1:70">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row>
    <row r="269" spans="1:70">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row>
    <row r="270" spans="1:70">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row>
    <row r="271" spans="1:70">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row>
    <row r="272" spans="1:70">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row>
    <row r="273" spans="1:70">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row>
    <row r="274" spans="1:70">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row>
    <row r="275" spans="1:70">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row>
    <row r="276" spans="1:70">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row>
    <row r="277" spans="1:70">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row>
    <row r="278" spans="1:70">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row>
    <row r="279" spans="1:70">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row>
    <row r="280" spans="1:70">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row>
    <row r="281" spans="1:70">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row>
    <row r="282" spans="1:70">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row>
    <row r="283" spans="1:70">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row>
    <row r="284" spans="1:70">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row>
    <row r="285" spans="1:70">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row>
    <row r="286" spans="1:70">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row>
    <row r="287" spans="1:70">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row>
    <row r="288" spans="1:70">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row>
    <row r="289" spans="1:47">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row>
    <row r="290" spans="1:47">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row>
    <row r="291" spans="1:47">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row>
    <row r="292" spans="1:47">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row>
    <row r="293" spans="1:47">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row>
    <row r="294" spans="1:47">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row>
    <row r="295" spans="1:47">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row>
    <row r="296" spans="1:47">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row>
    <row r="297" spans="1:47">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row>
    <row r="298" spans="1:47">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row>
    <row r="299" spans="1:47">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row>
    <row r="300" spans="1:47">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row>
    <row r="301" spans="1:47">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row>
    <row r="302" spans="1:47">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row>
    <row r="303" spans="1:47">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row>
    <row r="304" spans="1:47">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row>
    <row r="305" spans="1:47">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row>
    <row r="306" spans="1:47">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row>
    <row r="307" spans="1:47">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row>
    <row r="308" spans="1:47">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row>
    <row r="309" spans="1:47">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row>
    <row r="310" spans="1:47">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row>
    <row r="311" spans="1:47">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row>
    <row r="312" spans="1:47">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row>
    <row r="313" spans="1:47">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row>
    <row r="314" spans="1:47">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row>
    <row r="315" spans="1:47">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row>
    <row r="316" spans="1:47">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row>
    <row r="317" spans="1:47">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row>
    <row r="318" spans="1:47">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row>
    <row r="319" spans="1:47">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row>
    <row r="320" spans="1:47">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row>
    <row r="321" spans="1:47">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row>
    <row r="322" spans="1:47">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row>
    <row r="323" spans="1:47">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row>
    <row r="324" spans="1:47">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row>
    <row r="325" spans="1:47">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row>
    <row r="326" spans="1:47">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row>
    <row r="327" spans="1:47">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row>
    <row r="328" spans="1:47">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row>
    <row r="329" spans="1:47">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row>
    <row r="330" spans="1:47">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row>
    <row r="331" spans="1:47">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row>
    <row r="332" spans="1:47">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row>
    <row r="333" spans="1:47">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row>
    <row r="334" spans="1:47">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row>
    <row r="335" spans="1:47">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row>
    <row r="336" spans="1:47">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row>
    <row r="337" spans="1:47">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row>
    <row r="338" spans="1:47">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row>
    <row r="339" spans="1:47">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row>
    <row r="340" spans="1:47">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row>
    <row r="341" spans="1:47">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row>
    <row r="342" spans="1:47">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row>
    <row r="343" spans="1:47">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row>
    <row r="344" spans="1:47">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row>
    <row r="345" spans="1:47">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row>
    <row r="346" spans="1:47">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row>
  </sheetData>
  <sheetProtection algorithmName="SHA-512" hashValue="FF5xsT1m7N0WqBzJt6mU92eJvXk92SL7WrJaQuPV52bxViHr0eLGpfTgQO8IM3ORFd9XzineFlZullDQcDganA==" saltValue="6OzrPzSfqs0S3xf8SsQXnA==" spinCount="100000" sheet="1" selectLockedCells="1"/>
  <mergeCells count="49">
    <mergeCell ref="H23:J23"/>
    <mergeCell ref="K23:K24"/>
    <mergeCell ref="AR7:AR9"/>
    <mergeCell ref="AC9:AD9"/>
    <mergeCell ref="AG9:AH9"/>
    <mergeCell ref="S7:S9"/>
    <mergeCell ref="T7:T9"/>
    <mergeCell ref="V7:V9"/>
    <mergeCell ref="Y7:AB8"/>
    <mergeCell ref="Y9:Z9"/>
    <mergeCell ref="W7:W9"/>
    <mergeCell ref="X7:X9"/>
    <mergeCell ref="AC7:AF8"/>
    <mergeCell ref="AG7:AJ8"/>
    <mergeCell ref="D6:G6"/>
    <mergeCell ref="I7:I9"/>
    <mergeCell ref="J7:J9"/>
    <mergeCell ref="K7:K9"/>
    <mergeCell ref="G7:G9"/>
    <mergeCell ref="E7:E9"/>
    <mergeCell ref="K6:S6"/>
    <mergeCell ref="N7:N9"/>
    <mergeCell ref="O7:O9"/>
    <mergeCell ref="R7:R9"/>
    <mergeCell ref="Q7:Q9"/>
    <mergeCell ref="L7:L9"/>
    <mergeCell ref="M7:M9"/>
    <mergeCell ref="H6:J6"/>
    <mergeCell ref="B7:B9"/>
    <mergeCell ref="C7:C9"/>
    <mergeCell ref="D7:D9"/>
    <mergeCell ref="F7:F9"/>
    <mergeCell ref="H7:H9"/>
    <mergeCell ref="AZ8:AZ9"/>
    <mergeCell ref="AK7:AK9"/>
    <mergeCell ref="U7:U9"/>
    <mergeCell ref="AV8:AV9"/>
    <mergeCell ref="AW8:AW9"/>
    <mergeCell ref="AY8:AY9"/>
    <mergeCell ref="AL7:AL9"/>
    <mergeCell ref="AS7:AS9"/>
    <mergeCell ref="AO7:AO9"/>
    <mergeCell ref="AN7:AN9"/>
    <mergeCell ref="AM7:AM9"/>
    <mergeCell ref="AP7:AP9"/>
    <mergeCell ref="AT7:AT9"/>
    <mergeCell ref="AU7:AU9"/>
    <mergeCell ref="AQ7:AQ9"/>
    <mergeCell ref="AX8:AX9"/>
  </mergeCells>
  <conditionalFormatting sqref="H11:H18">
    <cfRule type="expression" dxfId="17" priority="2" stopIfTrue="1">
      <formula>IF($D11="New Construction", TRUE, FALSE)</formula>
    </cfRule>
  </conditionalFormatting>
  <conditionalFormatting sqref="I11:J18">
    <cfRule type="expression" dxfId="16" priority="3">
      <formula>IF($D11="New Construction", TRUE, FALSE)</formula>
    </cfRule>
  </conditionalFormatting>
  <conditionalFormatting sqref="AK11:AR18">
    <cfRule type="expression" dxfId="15" priority="1">
      <formula>IF($AR11="No", TRUE, FALSE)</formula>
    </cfRule>
  </conditionalFormatting>
  <dataValidations count="6">
    <dataValidation type="list" allowBlank="1" showInputMessage="1" showErrorMessage="1" sqref="F11:F18" xr:uid="{D70F26E2-B084-437F-98FC-2A5B5D388799}">
      <formula1>Zip_Code</formula1>
    </dataValidation>
    <dataValidation type="list" allowBlank="1" showInputMessage="1" showErrorMessage="1" sqref="E11:E18" xr:uid="{00000000-0002-0000-0700-000001000000}">
      <formula1>Facility_Types</formula1>
    </dataValidation>
    <dataValidation type="list" allowBlank="1" showInputMessage="1" showErrorMessage="1" sqref="S11:S18" xr:uid="{00000000-0002-0000-0700-000003000000}">
      <formula1>$G$25:$G$26</formula1>
    </dataValidation>
    <dataValidation type="list" allowBlank="1" showInputMessage="1" showErrorMessage="1" sqref="D11:D18" xr:uid="{81CD5BB4-4BBF-4099-9155-317D093513F2}">
      <formula1>Project_Type</formula1>
    </dataValidation>
    <dataValidation type="list" allowBlank="1" showInputMessage="1" showErrorMessage="1" sqref="I11:I18" xr:uid="{00000000-0002-0000-0700-000004000000}">
      <formula1>$C$23:$C$30</formula1>
    </dataValidation>
    <dataValidation type="list" allowBlank="1" showInputMessage="1" showErrorMessage="1" sqref="J11:J18" xr:uid="{00000000-0002-0000-0700-000005000000}">
      <formula1>$C$33:$C$40</formula1>
    </dataValidation>
  </dataValidation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ac9e20b-1dbf-4037-8b68-087444dc2ecf" xsi:nil="true"/>
    <lcf76f155ced4ddcb4097134ff3c332f xmlns="cbc74c14-02a4-46af-926d-0fbb104e9968">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4B000617BA075498E37F52E0DED6404" ma:contentTypeVersion="17" ma:contentTypeDescription="Create a new document." ma:contentTypeScope="" ma:versionID="8e7feb52c400be869cd0375c15cec2bd">
  <xsd:schema xmlns:xsd="http://www.w3.org/2001/XMLSchema" xmlns:xs="http://www.w3.org/2001/XMLSchema" xmlns:p="http://schemas.microsoft.com/office/2006/metadata/properties" xmlns:ns1="http://schemas.microsoft.com/sharepoint/v3" xmlns:ns2="cbc74c14-02a4-46af-926d-0fbb104e9968" xmlns:ns3="7ac9e20b-1dbf-4037-8b68-087444dc2ecf" targetNamespace="http://schemas.microsoft.com/office/2006/metadata/properties" ma:root="true" ma:fieldsID="c16e9aa4a3fd94e6de81aeaca2f18a1e" ns1:_="" ns2:_="" ns3:_="">
    <xsd:import namespace="http://schemas.microsoft.com/sharepoint/v3"/>
    <xsd:import namespace="cbc74c14-02a4-46af-926d-0fbb104e9968"/>
    <xsd:import namespace="7ac9e20b-1dbf-4037-8b68-087444dc2ecf"/>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c74c14-02a4-46af-926d-0fbb104e99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4661a3f4-1e69-4502-bd87-7abe80dc30bd"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c9e20b-1dbf-4037-8b68-087444dc2ecf"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61c450a1-c483-416c-a565-a38cb7fc0798}" ma:internalName="TaxCatchAll" ma:showField="CatchAllData" ma:web="7ac9e20b-1dbf-4037-8b68-087444dc2e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512D2B-1DBF-45E8-B82B-D0958BC351BC}">
  <ds:schemaRefs>
    <ds:schemaRef ds:uri="http://schemas.microsoft.com/office/2006/metadata/properties"/>
    <ds:schemaRef ds:uri="http://schemas.openxmlformats.org/package/2006/metadata/core-properties"/>
    <ds:schemaRef ds:uri="http://schemas.microsoft.com/office/2006/documentManagement/types"/>
    <ds:schemaRef ds:uri="http://purl.org/dc/elements/1.1/"/>
    <ds:schemaRef ds:uri="http://www.w3.org/XML/1998/namespace"/>
    <ds:schemaRef ds:uri="http://schemas.microsoft.com/office/infopath/2007/PartnerControls"/>
    <ds:schemaRef ds:uri="http://purl.org/dc/terms/"/>
    <ds:schemaRef ds:uri="cbc74c14-02a4-46af-926d-0fbb104e9968"/>
    <ds:schemaRef ds:uri="7ac9e20b-1dbf-4037-8b68-087444dc2ecf"/>
    <ds:schemaRef ds:uri="http://schemas.microsoft.com/sharepoint/v3"/>
    <ds:schemaRef ds:uri="http://purl.org/dc/dcmitype/"/>
  </ds:schemaRefs>
</ds:datastoreItem>
</file>

<file path=customXml/itemProps2.xml><?xml version="1.0" encoding="utf-8"?>
<ds:datastoreItem xmlns:ds="http://schemas.openxmlformats.org/officeDocument/2006/customXml" ds:itemID="{D2545B56-E704-4717-8DFF-B95040FA33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bc74c14-02a4-46af-926d-0fbb104e9968"/>
    <ds:schemaRef ds:uri="7ac9e20b-1dbf-4037-8b68-087444dc2e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7ECD7A1-4D32-4CE2-8F63-A2974356434E}">
  <ds:schemaRefs>
    <ds:schemaRef ds:uri="http://schemas.microsoft.com/sharepoint/v3/contenttype/forms"/>
  </ds:schemaRefs>
</ds:datastoreItem>
</file>

<file path=docMetadata/LabelInfo.xml><?xml version="1.0" encoding="utf-8"?>
<clbl:labelList xmlns:clbl="http://schemas.microsoft.com/office/2020/mipLabelMetadata">
  <clbl:label id="{a8ee12a3-5bcd-4f4e-b3f4-bbf43d9c570a}" enabled="0" method="" siteId="{a8ee12a3-5bcd-4f4e-b3f4-bbf43d9c570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7</vt:i4>
      </vt:variant>
    </vt:vector>
  </HeadingPairs>
  <TitlesOfParts>
    <vt:vector size="23" baseType="lpstr">
      <vt:lpstr>Instructions</vt:lpstr>
      <vt:lpstr>Project Summary</vt:lpstr>
      <vt:lpstr>Air Cooled Chillers</vt:lpstr>
      <vt:lpstr>Water Cooled Chillers</vt:lpstr>
      <vt:lpstr>Split and Packaged Units</vt:lpstr>
      <vt:lpstr>IECC 2015 efficiencies</vt:lpstr>
      <vt:lpstr>Air Source Heat Pumps</vt:lpstr>
      <vt:lpstr>Water Source Heat Pumps</vt:lpstr>
      <vt:lpstr>Ductless Mini Splits</vt:lpstr>
      <vt:lpstr>PTACs</vt:lpstr>
      <vt:lpstr>PTHPs</vt:lpstr>
      <vt:lpstr>Window Air Conditioners</vt:lpstr>
      <vt:lpstr>Commercial Smart Thermostat</vt:lpstr>
      <vt:lpstr>Lookup Tables</vt:lpstr>
      <vt:lpstr>Data Export</vt:lpstr>
      <vt:lpstr>Version Log</vt:lpstr>
      <vt:lpstr>'Air Source Heat Pumps'!Chiller_Facility_Types</vt:lpstr>
      <vt:lpstr>'Air Source Heat Pumps'!Facility_Types</vt:lpstr>
      <vt:lpstr>Facility_Types</vt:lpstr>
      <vt:lpstr>'Air Source Heat Pumps'!Project_Type</vt:lpstr>
      <vt:lpstr>Project_Type</vt:lpstr>
      <vt:lpstr>'Air Source Heat Pumps'!Zip_Code</vt:lpstr>
      <vt:lpstr>Zip_Code</vt:lpstr>
    </vt:vector>
  </TitlesOfParts>
  <Manager/>
  <Company>Roth Bros. Inc. a Sodexo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C. Hall</dc:creator>
  <cp:keywords/>
  <dc:description/>
  <cp:lastModifiedBy>Nicholas Dombrosky</cp:lastModifiedBy>
  <cp:revision/>
  <dcterms:created xsi:type="dcterms:W3CDTF">2016-01-05T16:11:37Z</dcterms:created>
  <dcterms:modified xsi:type="dcterms:W3CDTF">2024-06-15T12:46:32Z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0x01010034B000617BA075498E37F52E0DED6404</vt:lpwstr>
  </property>
  <property fmtid="{D5CDD505-2E9C-101B-9397-08002B2CF9AE}" pid="3" name="MediaServiceImageTags">
    <vt:lpwstr/>
  </property>
</Properties>
</file>